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3.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4.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5.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6.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drawings/drawing7.xml" ContentType="application/vnd.openxmlformats-officedocument.drawing+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8.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drawings/drawing9.xml" ContentType="application/vnd.openxmlformats-officedocument.drawing+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D:\Dropbox\Sotera shared files\Jobs\J2045 RSSB Dangerous Goods\Risk assessment\"/>
    </mc:Choice>
  </mc:AlternateContent>
  <xr:revisionPtr revIDLastSave="0" documentId="13_ncr:1_{331CF599-51A0-4434-85EF-E177149C1AC0}" xr6:coauthVersionLast="45" xr6:coauthVersionMax="45" xr10:uidLastSave="{00000000-0000-0000-0000-000000000000}"/>
  <bookViews>
    <workbookView xWindow="23880" yWindow="-120" windowWidth="24240" windowHeight="13140" xr2:uid="{00000000-000D-0000-FFFF-FFFF00000000}"/>
  </bookViews>
  <sheets>
    <sheet name="Intro" sheetId="70" r:id="rId1"/>
    <sheet name="Step 2 - Classify the event" sheetId="31" r:id="rId2"/>
    <sheet name="Derailment" sheetId="36" r:id="rId3"/>
    <sheet name="Derailment Precursor" sheetId="32" r:id="rId4"/>
    <sheet name="Collision" sheetId="39" r:id="rId5"/>
    <sheet name="Collision Precursor" sheetId="42" r:id="rId6"/>
    <sheet name="Loss of Containment" sheetId="50" r:id="rId7"/>
    <sheet name="Loss of Cont Precursor" sheetId="47" r:id="rId8"/>
    <sheet name="Fire" sheetId="53" r:id="rId9"/>
    <sheet name="Admin Error" sheetId="57" r:id="rId10"/>
    <sheet name="Tabs to be hidden or deleted &gt;&gt;" sheetId="71" state="hidden" r:id="rId11"/>
    <sheet name="Route Map" sheetId="67" state="hidden" r:id="rId12"/>
    <sheet name="Admin Multi" sheetId="59" state="hidden" r:id="rId13"/>
    <sheet name="Admin Score" sheetId="60" state="hidden" r:id="rId14"/>
    <sheet name="Derailment Prec Multi" sheetId="34" state="hidden" r:id="rId15"/>
    <sheet name="input ranges" sheetId="33" state="hidden" r:id="rId16"/>
    <sheet name="Derailment Prec Score" sheetId="35" state="hidden" r:id="rId17"/>
    <sheet name="Derailment multi" sheetId="37" state="hidden" r:id="rId18"/>
    <sheet name="Derailment Score" sheetId="38" state="hidden" r:id="rId19"/>
    <sheet name="Collision Prec Multi" sheetId="45" state="hidden" r:id="rId20"/>
    <sheet name="Collision Prec Score" sheetId="46" state="hidden" r:id="rId21"/>
    <sheet name="Collision mult" sheetId="40" state="hidden" r:id="rId22"/>
    <sheet name="Collision Score" sheetId="41" state="hidden" r:id="rId23"/>
    <sheet name="Fire multi" sheetId="56" state="hidden" r:id="rId24"/>
    <sheet name="Fire Score" sheetId="54" state="hidden" r:id="rId25"/>
    <sheet name="Loss Cont Prec Multi" sheetId="48" state="hidden" r:id="rId26"/>
    <sheet name="Loss Cont Pre Score" sheetId="49" state="hidden" r:id="rId27"/>
    <sheet name="Loss of Cont Multi" sheetId="51" state="hidden" r:id="rId28"/>
    <sheet name="Loss of Cont Score" sheetId="52" state="hidden" r:id="rId29"/>
    <sheet name="Calibration" sheetId="61" state="hidden" r:id="rId30"/>
    <sheet name="Stats and distribution" sheetId="64" state="hidden" r:id="rId31"/>
    <sheet name="Ranked SMIS events &gt;&gt;" sheetId="66" state="hidden" r:id="rId32"/>
    <sheet name="CM Admin error" sheetId="29" state="hidden" r:id="rId33"/>
    <sheet name="CM Collision precursor" sheetId="21" state="hidden" r:id="rId34"/>
    <sheet name="CM Fire" sheetId="28" state="hidden" r:id="rId35"/>
    <sheet name="CM Loss of contain Pre" sheetId="25" state="hidden" r:id="rId36"/>
    <sheet name="CM Collision " sheetId="24" state="hidden" r:id="rId37"/>
    <sheet name="CM Loss of containment" sheetId="26" state="hidden" r:id="rId38"/>
    <sheet name="CM Derailment" sheetId="23" state="hidden" r:id="rId39"/>
  </sheets>
  <definedNames>
    <definedName name="Admin_Conseq_Bridge">'Admin Multi'!$B$50:$C$51</definedName>
    <definedName name="Admin_conseq_BU">'Admin Multi'!$B$42:$C$43</definedName>
    <definedName name="Admin_Conseq_elec">'Admin Multi'!$B$38:$C$39</definedName>
    <definedName name="Admin_Conseq_Tunnel">'Admin Multi'!$B$46:$C$47</definedName>
    <definedName name="admin_conseq_water">'Admin Multi'!$B$54:$C$55</definedName>
    <definedName name="Admin_DG_Stored">'Admin Multi'!$B$26:$C$27</definedName>
    <definedName name="Admin_DG_Wagons">Fire!$F$55</definedName>
    <definedName name="Admin_High_conseq">'Admin Multi'!$B$18:$C$19</definedName>
    <definedName name="admin_likelihood">'Admin Multi'!$B$3:$C$6</definedName>
    <definedName name="Admin_Multi_DG">'Admin Multi'!$B$22:$C$23</definedName>
    <definedName name="Admin_passenger_line">'Admin Multi'!$B$14:$C$15</definedName>
    <definedName name="Admin_speed_range">'Admin Multi'!$B$9:$C$11</definedName>
    <definedName name="admin_tops_error">'Admin Multi'!$B$33:$C$34</definedName>
    <definedName name="calib">Calibration!$C$13</definedName>
    <definedName name="Coll_Conseq_Bridge">'Collision mult'!$B$46:$C$47</definedName>
    <definedName name="Coll_conseq_BU">'Collision mult'!$B$38:$C$39</definedName>
    <definedName name="Coll_Conseq_elec">'Collision mult'!$B$34:$C$35</definedName>
    <definedName name="Coll_Conseq_Tunnel">'Collision mult'!$B$42:$C$43</definedName>
    <definedName name="coll_conseq_water">'Collision mult'!$B$50:$C$51</definedName>
    <definedName name="Coll_DG_Stored">'Collision mult'!$B$24:$C$25</definedName>
    <definedName name="Coll_DG_Wagons">Collision!$F$25</definedName>
    <definedName name="Coll_High_conseq">'Collision mult'!$B$16:$C$17</definedName>
    <definedName name="Coll_Multi_DG">'Collision mult'!$B$20:$C$21</definedName>
    <definedName name="Coll_passenger_line">'Collision mult'!$B$12:$C$13</definedName>
    <definedName name="Coll_speed_range">'Collision mult'!$B$7:$C$9</definedName>
    <definedName name="Coll_tops_error">'Collision mult'!$B$30:$C$31</definedName>
    <definedName name="collision_likelihood">'Collision Prec Multi'!$B$3:$C$6</definedName>
    <definedName name="CP_Conseq_Bridge">'Collision Prec Multi'!$B$48:$C$49</definedName>
    <definedName name="CP_conseq_BU">'Collision Prec Multi'!$B$40:$C$41</definedName>
    <definedName name="CP_Conseq_elec">'Collision Prec Multi'!$B$36:$C$37</definedName>
    <definedName name="CP_Conseq_Tunnel">'Collision Prec Multi'!$B$44:$C$45</definedName>
    <definedName name="CP_Conseq_water">'Collision Prec Multi'!$B$52:$C$53</definedName>
    <definedName name="CP_DG_Stored">'Collision Prec Multi'!$B$26:$C$27</definedName>
    <definedName name="CP_DG_Wagons">'Collision Precursor'!$F$30</definedName>
    <definedName name="CP_High_conseq">'Collision Prec Multi'!$B$18:$C$19</definedName>
    <definedName name="CP_Multi_DG">'Collision Prec Multi'!$B$22:$C$23</definedName>
    <definedName name="CP_passenger_line">'Collision Prec Multi'!$B$14:$C$15</definedName>
    <definedName name="CP_speed_range">'Collision Prec Multi'!$B$9:$C$11</definedName>
    <definedName name="CP_TOPS_error">'Collision Prec Multi'!$B$32:$C$33</definedName>
    <definedName name="CP_Wagons">'Collision Prec Multi'!$C$29</definedName>
    <definedName name="D_Conseq_Bridge">'Derailment multi'!$B$46:$C$47</definedName>
    <definedName name="D_conseq_BU">'Derailment multi'!$B$38:$C$39</definedName>
    <definedName name="D_Conseq_elec">'Derailment multi'!$B$34:$C$35</definedName>
    <definedName name="D_Conseq_Tunnel">'Derailment multi'!$B$42:$C$43</definedName>
    <definedName name="D_conseq_water">'Derailment multi'!$B$50:$C$51</definedName>
    <definedName name="D_DG_Stored">'Derailment multi'!$B$28:$C$29</definedName>
    <definedName name="D_DG_Wagons">Derailment!$F$25</definedName>
    <definedName name="D_High_conseq">'Derailment multi'!$B$16:$C$17</definedName>
    <definedName name="D_Multi_DG">'Derailment multi'!$B$20:$C$21</definedName>
    <definedName name="D_passenger_line">'Derailment multi'!$B$12:$C$13</definedName>
    <definedName name="D_speed_range">'Derailment multi'!$B$7:$C$9</definedName>
    <definedName name="D_tops_error">'Derailment multi'!$B$24:$C$25</definedName>
    <definedName name="derailment_likelihood">'Derailment Prec Multi'!$B$3:$C$6</definedName>
    <definedName name="DG_Fire_Involvement">'Fire multi'!$B$11:$C$12</definedName>
    <definedName name="DP_Conseq_Bridge">'Derailment Prec Multi'!$B$49:$C$50</definedName>
    <definedName name="DP_conseq_BU">'Derailment Prec Multi'!$B$41:$C$42</definedName>
    <definedName name="DP_Conseq_elec">'Derailment Prec Multi'!$B$37:$C$38</definedName>
    <definedName name="DP_Conseq_Tunnel">'Derailment Prec Multi'!$B$45:$C$46</definedName>
    <definedName name="DP_Conseq_water">'Derailment Prec Multi'!$B$53:$C$54</definedName>
    <definedName name="DP_DG_Stored">'Derailment Prec Multi'!$B$26:$C$27</definedName>
    <definedName name="DP_DG_Wagons">'Derailment Precursor'!$F$30</definedName>
    <definedName name="DP_High_conseq">'Derailment Prec Multi'!$B$18:$C$19</definedName>
    <definedName name="DP_Multi_DG">'Derailment Prec Multi'!$B$22:$C$23</definedName>
    <definedName name="DP_passenger_line">'Derailment Prec Multi'!$B$14:$C$15</definedName>
    <definedName name="DP_speed_range">'Derailment Prec Multi'!$B$9:$C$11</definedName>
    <definedName name="DP_tops_error">'Derailment Prec Multi'!$B$33:$C$34</definedName>
    <definedName name="DP_Wagons" localSheetId="12">'Admin Multi'!$C$30</definedName>
    <definedName name="DP_Wagons">'Derailment Prec Multi'!$C$29</definedName>
    <definedName name="Fire_Conseq_Bridge">'Fire multi'!$B$56:$C$57</definedName>
    <definedName name="fire_conseq_BU">'Fire multi'!$B$48:$C$49</definedName>
    <definedName name="fire_Conseq_elec">'Fire multi'!$B$44:$C$45</definedName>
    <definedName name="Fire_Conseq_Tunnel">'Fire multi'!$B$52:$C$53</definedName>
    <definedName name="Fire_conseq_water">'Fire multi'!$B$60:$C$61</definedName>
    <definedName name="Fire_DG_Stored">'Fire multi'!$B$34:$C$35</definedName>
    <definedName name="Fire_DG_Wagons">Fire!$F$55</definedName>
    <definedName name="Fire_High_conseq">'Fire multi'!$B$26:$C$27</definedName>
    <definedName name="Fire_impacts_DGs">'Fire multi'!$B$15:$C$18</definedName>
    <definedName name="Fire_Multi_DG">'Fire multi'!$B$30:$C$31</definedName>
    <definedName name="Fire_passenger_line">'Fire multi'!$B$22:$C$23</definedName>
    <definedName name="Fire_Sustained">'Fire multi'!$B$7:$C$8</definedName>
    <definedName name="FIre_tops_error">'Fire multi'!$B$38:$C$39</definedName>
    <definedName name="LOC_Conseq_Bridge">'Loss of Cont Multi'!$B$45:$C$46</definedName>
    <definedName name="LOC_conseq_BU">'Loss of Cont Multi'!$B$37:$C$38</definedName>
    <definedName name="LOC_Conseq_elec">'Loss of Cont Multi'!$B$33:$C$34</definedName>
    <definedName name="LOC_Conseq_Tunnel">'Loss of Cont Multi'!$B$41:$C$42</definedName>
    <definedName name="LOC_conseq_water">'Loss of Cont Multi'!$B$49:$C$50</definedName>
    <definedName name="LOC_DG_Stored">'Loss of Cont Multi'!$B$22:$C$23</definedName>
    <definedName name="LOC_DG_Wagons">'Loss of Containment'!$F$47</definedName>
    <definedName name="LOC_High_conseq">'Loss of Cont Multi'!$B$14:$C$15</definedName>
    <definedName name="LOC_Multi_DG">'Loss of Cont Multi'!$B$18:$C$19</definedName>
    <definedName name="LOC_passenger_line">'Loss of Cont Multi'!$B$10:$C$11</definedName>
    <definedName name="LOC_TOPS_error">'Loss of Cont Multi'!$B$28:$C$29</definedName>
    <definedName name="LOC_Wagons">'Loss of Cont Multi'!$C$25</definedName>
    <definedName name="LOCP_Conseq_Bridge" localSheetId="27">'Loss of Cont Multi'!$B$45:$C$46</definedName>
    <definedName name="LOCP_Conseq_Bridge">'Loss Cont Prec Multi'!$B$49:$C$50</definedName>
    <definedName name="LOCP_conseq_BU" localSheetId="27">'Loss of Cont Multi'!$B$37:$C$38</definedName>
    <definedName name="LOCP_conseq_BU">'Loss Cont Prec Multi'!$B$41:$C$42</definedName>
    <definedName name="LOCP_Conseq_elec" localSheetId="27">'Loss of Cont Multi'!$B$33:$C$34</definedName>
    <definedName name="LOCP_Conseq_elec">'Loss Cont Prec Multi'!$B$37:$C$38</definedName>
    <definedName name="LOCP_Conseq_Tunnel" localSheetId="27">'Loss of Cont Multi'!$B$41:$C$42</definedName>
    <definedName name="LOCP_Conseq_Tunnel">'Loss Cont Prec Multi'!$B$45:$C$46</definedName>
    <definedName name="LOCP_DG_Wagons" localSheetId="8">Fire!$F$55</definedName>
    <definedName name="LOCP_DG_Wagons" localSheetId="6">'Loss of Containment'!$F$47</definedName>
    <definedName name="LOCP_DG_Wagons">'Loss of Cont Precursor'!$F$31</definedName>
    <definedName name="LOCP_Wagons" localSheetId="27">'Loss of Cont Multi'!$C$25</definedName>
    <definedName name="LOCP_Wagons">'Loss Cont Prec Multi'!$C$30</definedName>
    <definedName name="LOS_Scale">'Loss of Cont Multi'!$B$4:$C$7</definedName>
    <definedName name="multiple_wagons" localSheetId="32">'CM Admin error'!$C$32</definedName>
    <definedName name="multiple_wagons" localSheetId="36">'CM Collision '!$C$25</definedName>
    <definedName name="multiple_wagons" localSheetId="33">'CM Collision precursor'!$C$31</definedName>
    <definedName name="multiple_wagons" localSheetId="38">'CM Derailment'!$C$24</definedName>
    <definedName name="multiple_wagons" localSheetId="34">'CM Fire'!#REF!</definedName>
    <definedName name="multiple_wagons" localSheetId="35">'CM Loss of contain Pre'!#REF!</definedName>
    <definedName name="multiple_wagons" localSheetId="37">'CM Loss of containment'!#REF!</definedName>
    <definedName name="multiple_wagons">#REF!</definedName>
    <definedName name="number_wagons">'input ranges'!$A$2:$A$31</definedName>
    <definedName name="ny_input" localSheetId="21">'Collision mult'!$B$3:$B$4</definedName>
    <definedName name="ny_input" localSheetId="23">'Fire multi'!$B$3:$B$4</definedName>
    <definedName name="ny_input">'Derailment multi'!$B$3:$B$4</definedName>
    <definedName name="passenger_line" localSheetId="12">'Admin Multi'!$B$14:$C$15</definedName>
    <definedName name="passenger_line" localSheetId="21">'Collision mult'!$B$12:$C$13</definedName>
    <definedName name="passenger_line" localSheetId="19">'Collision Prec Multi'!$B$14:$C$15</definedName>
    <definedName name="passenger_line" localSheetId="17">'Derailment multi'!$B$12:$C$13</definedName>
    <definedName name="passenger_line" localSheetId="23">'Fire multi'!$B$22:$C$23</definedName>
    <definedName name="passenger_line" localSheetId="25">'Loss Cont Prec Multi'!$B$15:$C$16</definedName>
    <definedName name="passenger_line" localSheetId="27">'Loss of Cont Multi'!$B$10:$C$11</definedName>
    <definedName name="passenger_line">'Derailment Prec Multi'!$B$14:$C$15</definedName>
    <definedName name="passengers" localSheetId="32">'CM Admin error'!$D$17</definedName>
    <definedName name="passengers" localSheetId="36">'CM Collision '!$D$10</definedName>
    <definedName name="passengers" localSheetId="33">'CM Collision precursor'!$D$16</definedName>
    <definedName name="passengers" localSheetId="38">'CM Derailment'!$D$9</definedName>
    <definedName name="passengers" localSheetId="34">'CM Fire'!$D$16</definedName>
    <definedName name="passengers" localSheetId="35">'CM Loss of contain Pre'!$D$16</definedName>
    <definedName name="passengers" localSheetId="37">'CM Loss of containment'!$D$11</definedName>
    <definedName name="passengers">#REF!</definedName>
    <definedName name="PLOC_conseq_water">'Loss Cont Prec Multi'!$B$53:$C$54</definedName>
    <definedName name="PLOC_DG_Stored" localSheetId="27">'Loss of Cont Multi'!$B$22:$C$23</definedName>
    <definedName name="PLOC_DG_Stored">'Loss Cont Prec Multi'!$B$27:$C$28</definedName>
    <definedName name="PLOC_High_conseq" localSheetId="27">'Loss of Cont Multi'!$B$14:$C$15</definedName>
    <definedName name="PLOC_High_conseq">'Loss Cont Prec Multi'!$B$19:$C$20</definedName>
    <definedName name="PLOC_Likelihood" localSheetId="27">'Loss of Cont Multi'!#REF!</definedName>
    <definedName name="PLOC_Likelihood">'Loss Cont Prec Multi'!$B$3:$C$6</definedName>
    <definedName name="PLOC_Multi_DG" localSheetId="27">'Loss of Cont Multi'!$B$18:$C$19</definedName>
    <definedName name="PLOC_Multi_DG">'Loss Cont Prec Multi'!$B$23:$C$24</definedName>
    <definedName name="PLOC_passenger_line" localSheetId="27">'Loss of Cont Multi'!$B$10:$C$11</definedName>
    <definedName name="PLOC_passenger_line">'Loss Cont Prec Multi'!$B$15:$C$16</definedName>
    <definedName name="PLOC_TOPS_error">'Loss Cont Prec Multi'!$B$33:$C$34</definedName>
    <definedName name="PLOS_Scale" localSheetId="27">'Loss of Cont Multi'!$B$4:$C$7</definedName>
    <definedName name="PLOS_Scale">'Loss Cont Prec Multi'!$B$9:$C$12</definedName>
    <definedName name="radioactive" localSheetId="32">'CM Admin error'!#REF!</definedName>
    <definedName name="radioactive" localSheetId="36">'CM Collision '!#REF!</definedName>
    <definedName name="radioactive" localSheetId="33">'CM Collision precursor'!#REF!</definedName>
    <definedName name="radioactive" localSheetId="38">'CM Derailment'!#REF!</definedName>
    <definedName name="radioactive" localSheetId="34">'CM Fire'!#REF!</definedName>
    <definedName name="radioactive" localSheetId="35">'CM Loss of contain Pre'!#REF!</definedName>
    <definedName name="radioactive" localSheetId="37">'CM Loss of containment'!#REF!</definedName>
    <definedName name="radioactive">#REF!</definedName>
    <definedName name="release_prob">#REF!</definedName>
    <definedName name="secondary_impact">#REF!</definedName>
    <definedName name="small_container_mit">#REF!</definedName>
    <definedName name="small_containers" localSheetId="32">'CM Admin error'!$C$29</definedName>
    <definedName name="small_containers" localSheetId="36">'CM Collision '!$C$22</definedName>
    <definedName name="small_containers" localSheetId="33">'CM Collision precursor'!$C$28</definedName>
    <definedName name="small_containers" localSheetId="38">'CM Derailment'!$C$21</definedName>
    <definedName name="small_containers" localSheetId="34">'CM Fire'!$C$28</definedName>
    <definedName name="small_containers" localSheetId="35">'CM Loss of contain Pre'!$C$28</definedName>
    <definedName name="small_containers" localSheetId="37">'CM Loss of containment'!$C$23</definedName>
    <definedName name="small_containers">#REF!</definedName>
    <definedName name="speed_range" localSheetId="12">'Admin Multi'!$B$9:$C$11</definedName>
    <definedName name="speed_range" localSheetId="21">'Collision mult'!$B$7:$C$9</definedName>
    <definedName name="speed_range" localSheetId="19">'Collision Prec Multi'!$B$9:$C$11</definedName>
    <definedName name="speed_range" localSheetId="17">'Derailment multi'!$B$7:$C$9</definedName>
    <definedName name="speed_range" localSheetId="23">'Fire multi'!$B$7:$C$19</definedName>
    <definedName name="speed_range" localSheetId="25">'Loss Cont Prec Multi'!#REF!</definedName>
    <definedName name="speed_range" localSheetId="27">'Loss of Cont Multi'!#REF!</definedName>
    <definedName name="speed_range">'Derailment Prec Multi'!$B$9:$C$11</definedName>
    <definedName name="yes_no">'input ranges'!$C$2:$C$3</definedName>
  </definedNames>
  <calcPr calcId="191029" iterate="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3" i="54" l="1" a="1"/>
  <c r="B23" i="54" s="1"/>
  <c r="B22" i="54" a="1"/>
  <c r="B22" i="54" s="1"/>
  <c r="C7" i="54" l="1" a="1"/>
  <c r="C7" i="54" s="1"/>
  <c r="B4" i="38" l="1"/>
  <c r="B10" i="52" a="1"/>
  <c r="B10" i="52" s="1"/>
  <c r="B8" i="52" a="1"/>
  <c r="B8" i="52" s="1"/>
  <c r="B7" i="52" a="1"/>
  <c r="B7" i="52" s="1"/>
  <c r="B11" i="49" a="1"/>
  <c r="B11" i="49" s="1"/>
  <c r="B9" i="49" a="1"/>
  <c r="B9" i="49" s="1"/>
  <c r="B8" i="49" a="1"/>
  <c r="B8" i="49" s="1"/>
  <c r="B19" i="52" a="1"/>
  <c r="B19" i="52" s="1"/>
  <c r="B11" i="52" a="1"/>
  <c r="B11" i="52" s="1"/>
  <c r="B9" i="52" a="1"/>
  <c r="B9" i="52" s="1"/>
  <c r="B10" i="49" a="1"/>
  <c r="B10" i="49" s="1"/>
  <c r="B18" i="49" a="1"/>
  <c r="B18" i="49" s="1"/>
  <c r="B14" i="54" a="1"/>
  <c r="B14" i="54" s="1"/>
  <c r="B11" i="41" a="1"/>
  <c r="B11" i="41" s="1"/>
  <c r="B10" i="41" a="1"/>
  <c r="B10" i="41" s="1"/>
  <c r="B20" i="41" a="1"/>
  <c r="B20" i="41" s="1"/>
  <c r="B12" i="46" a="1"/>
  <c r="B12" i="46" s="1"/>
  <c r="B11" i="38" a="1"/>
  <c r="B11" i="38" s="1"/>
  <c r="B18" i="46" a="1"/>
  <c r="B18" i="46" s="1"/>
  <c r="B20" i="38" a="1"/>
  <c r="B20" i="38" s="1"/>
  <c r="B18" i="35" l="1" a="1"/>
  <c r="B18" i="35" s="1"/>
  <c r="B19" i="35" a="1"/>
  <c r="B19" i="35" s="1"/>
  <c r="B20" i="60" a="1"/>
  <c r="B20" i="60" s="1"/>
  <c r="B11" i="35" a="1"/>
  <c r="B11" i="35" s="1"/>
  <c r="B12" i="60" a="1"/>
  <c r="B12" i="60" s="1"/>
  <c r="B11" i="60" a="1"/>
  <c r="B11" i="60" s="1"/>
  <c r="O42" i="25" l="1"/>
  <c r="AE46" i="29"/>
  <c r="AE49" i="29" s="1"/>
  <c r="AA49" i="29"/>
  <c r="AB49" i="29"/>
  <c r="AD46" i="29"/>
  <c r="I45" i="25"/>
  <c r="H49" i="29"/>
  <c r="Y49" i="29"/>
  <c r="C3" i="64" l="1"/>
  <c r="C4" i="64"/>
  <c r="C5" i="64"/>
  <c r="C6" i="64"/>
  <c r="C7" i="64"/>
  <c r="C13" i="64"/>
  <c r="C8" i="64"/>
  <c r="C9" i="64"/>
  <c r="C10" i="64"/>
  <c r="C11" i="64"/>
  <c r="C12" i="64"/>
  <c r="B18" i="52" a="1"/>
  <c r="B18" i="52" s="1"/>
  <c r="B17" i="52" a="1"/>
  <c r="B17" i="52" s="1"/>
  <c r="B16" i="52" a="1"/>
  <c r="B16" i="52" s="1"/>
  <c r="B12" i="52"/>
  <c r="B15" i="52" s="1" a="1"/>
  <c r="B15" i="52" s="1"/>
  <c r="B6" i="52" a="1"/>
  <c r="B6" i="52" s="1"/>
  <c r="B15" i="54"/>
  <c r="B5" i="54" a="1"/>
  <c r="B5" i="54" s="1"/>
  <c r="B12" i="41"/>
  <c r="B16" i="41" s="1" a="1"/>
  <c r="B16" i="41" s="1"/>
  <c r="B19" i="41" a="1"/>
  <c r="B19" i="41" s="1"/>
  <c r="B18" i="41" a="1"/>
  <c r="B18" i="41" s="1"/>
  <c r="B17" i="41" a="1"/>
  <c r="B17" i="41" s="1"/>
  <c r="B9" i="41" a="1"/>
  <c r="B9" i="41" s="1"/>
  <c r="B8" i="41" a="1"/>
  <c r="B8" i="41" s="1"/>
  <c r="B7" i="41" a="1"/>
  <c r="B7" i="41" s="1"/>
  <c r="B6" i="41" a="1"/>
  <c r="B6" i="41" s="1"/>
  <c r="C14" i="64" l="1"/>
  <c r="H9" i="59"/>
  <c r="H10" i="59"/>
  <c r="G9" i="59"/>
  <c r="G10" i="59"/>
  <c r="G11" i="59"/>
  <c r="B6" i="60" l="1" a="1"/>
  <c r="B6" i="60" s="1"/>
  <c r="C14" i="61" l="1"/>
  <c r="B17" i="49" a="1"/>
  <c r="B17" i="49" s="1"/>
  <c r="C29" i="34"/>
  <c r="B19" i="60" a="1"/>
  <c r="B19" i="60" s="1"/>
  <c r="B18" i="60" a="1"/>
  <c r="B18" i="60" s="1"/>
  <c r="B17" i="60" a="1"/>
  <c r="B17" i="60" s="1"/>
  <c r="B16" i="60" a="1"/>
  <c r="B16" i="60" s="1"/>
  <c r="B13" i="60" a="1"/>
  <c r="B13" i="60" s="1"/>
  <c r="B10" i="60" a="1"/>
  <c r="B10" i="60" s="1"/>
  <c r="B9" i="60" a="1"/>
  <c r="B9" i="60" s="1"/>
  <c r="B8" i="60" a="1"/>
  <c r="B8" i="60" s="1"/>
  <c r="B5" i="60" a="1"/>
  <c r="B5" i="60" s="1"/>
  <c r="B7" i="60" s="1"/>
  <c r="B21" i="54" a="1"/>
  <c r="B21" i="54" s="1"/>
  <c r="B20" i="54" a="1"/>
  <c r="B20" i="54" s="1"/>
  <c r="B19" i="54" a="1"/>
  <c r="B19" i="54" s="1"/>
  <c r="B13" i="54" a="1"/>
  <c r="B13" i="54" s="1"/>
  <c r="B12" i="54" a="1"/>
  <c r="B12" i="54" s="1"/>
  <c r="B11" i="54" a="1"/>
  <c r="B11" i="54" s="1"/>
  <c r="B10" i="54" a="1"/>
  <c r="B10" i="54" s="1"/>
  <c r="B4" i="54"/>
  <c r="B9" i="54" s="1"/>
  <c r="C6" i="54" a="1"/>
  <c r="C6" i="54" s="1"/>
  <c r="B8" i="54" s="1"/>
  <c r="C41" i="56"/>
  <c r="B22" i="52"/>
  <c r="B16" i="49" a="1"/>
  <c r="B16" i="49" s="1"/>
  <c r="B4" i="52" a="1"/>
  <c r="B4" i="52" s="1"/>
  <c r="B5" i="52" s="1"/>
  <c r="B15" i="49" a="1"/>
  <c r="B15" i="49" s="1"/>
  <c r="B14" i="49" a="1"/>
  <c r="B14" i="49" s="1"/>
  <c r="B7" i="49" a="1"/>
  <c r="B7" i="49" s="1"/>
  <c r="B6" i="49" a="1"/>
  <c r="B6" i="49" s="1"/>
  <c r="B4" i="49"/>
  <c r="B5" i="49" s="1"/>
  <c r="B17" i="46" a="1"/>
  <c r="B17" i="46" s="1"/>
  <c r="B16" i="46" a="1"/>
  <c r="B16" i="46" s="1"/>
  <c r="B15" i="46" a="1"/>
  <c r="B15" i="46" s="1"/>
  <c r="B14" i="46" a="1"/>
  <c r="B14" i="46" s="1"/>
  <c r="B11" i="46" a="1"/>
  <c r="B11" i="46" s="1"/>
  <c r="B10" i="46" a="1"/>
  <c r="B10" i="46" s="1"/>
  <c r="B9" i="46" a="1"/>
  <c r="B9" i="46" s="1"/>
  <c r="B8" i="46" a="1"/>
  <c r="B8" i="46" s="1"/>
  <c r="B21" i="46" s="1"/>
  <c r="B7" i="46" a="1"/>
  <c r="B7" i="46" s="1"/>
  <c r="B6" i="46" a="1"/>
  <c r="B6" i="46" s="1"/>
  <c r="B4" i="46"/>
  <c r="B5" i="46" s="1"/>
  <c r="B4" i="41" a="1"/>
  <c r="B4" i="41" s="1"/>
  <c r="B5" i="41" s="1"/>
  <c r="B19" i="38" a="1"/>
  <c r="B19" i="38" s="1"/>
  <c r="B18" i="38" a="1"/>
  <c r="B18" i="38" s="1"/>
  <c r="B17" i="38" a="1"/>
  <c r="B17" i="38" s="1"/>
  <c r="B10" i="38" a="1"/>
  <c r="B10" i="38" s="1"/>
  <c r="B9" i="38" a="1"/>
  <c r="B9" i="38" s="1"/>
  <c r="B8" i="38" a="1"/>
  <c r="B8" i="38" s="1"/>
  <c r="B7" i="38" a="1"/>
  <c r="B7" i="38" s="1"/>
  <c r="B6" i="38" a="1"/>
  <c r="B6" i="38" s="1"/>
  <c r="B12" i="38"/>
  <c r="B16" i="38" s="1" a="1"/>
  <c r="B16" i="38" s="1"/>
  <c r="B17" i="35" a="1"/>
  <c r="B17" i="35" s="1"/>
  <c r="B16" i="35" a="1"/>
  <c r="B16" i="35" s="1"/>
  <c r="B15" i="35" a="1"/>
  <c r="B15" i="35" s="1"/>
  <c r="B12" i="35" a="1"/>
  <c r="B12" i="35" s="1"/>
  <c r="B10" i="35" a="1"/>
  <c r="B10" i="35" s="1"/>
  <c r="B9" i="35" a="1"/>
  <c r="B9" i="35" s="1"/>
  <c r="B8" i="35" a="1"/>
  <c r="B8" i="35" s="1"/>
  <c r="B7" i="35" a="1"/>
  <c r="B7" i="35" s="1"/>
  <c r="B4" i="35"/>
  <c r="B5" i="38"/>
  <c r="B26" i="54" l="1"/>
  <c r="B24" i="60"/>
  <c r="B23" i="41"/>
  <c r="C13" i="61"/>
  <c r="B22" i="49"/>
  <c r="B24" i="38"/>
  <c r="B5" i="35"/>
  <c r="B6" i="35" a="1"/>
  <c r="B6" i="35" s="1"/>
  <c r="G45" i="25" l="1"/>
  <c r="I70" i="24"/>
  <c r="G70" i="24"/>
  <c r="J45" i="25"/>
  <c r="AD49" i="29"/>
  <c r="F73" i="28"/>
  <c r="M45" i="25"/>
  <c r="G73" i="28"/>
  <c r="N45" i="25"/>
  <c r="F45" i="25"/>
  <c r="I70" i="26"/>
  <c r="K45" i="25"/>
  <c r="J70" i="26"/>
  <c r="O45" i="25"/>
  <c r="B23" i="46"/>
  <c r="E1" i="42" s="1"/>
  <c r="B28" i="54"/>
  <c r="E1" i="53" s="1"/>
  <c r="B26" i="38"/>
  <c r="E1" i="36" s="1"/>
  <c r="B26" i="60"/>
  <c r="E1" i="57" s="1"/>
  <c r="B24" i="52"/>
  <c r="E1" i="50" s="1"/>
  <c r="B24" i="49"/>
  <c r="E1" i="47" s="1"/>
  <c r="I69" i="23"/>
  <c r="K69" i="23"/>
  <c r="L69" i="23"/>
  <c r="B25" i="41"/>
  <c r="E1" i="39" s="1"/>
  <c r="D8" i="61"/>
  <c r="D11" i="61"/>
  <c r="D10" i="61"/>
  <c r="D9" i="61"/>
  <c r="D7" i="61"/>
  <c r="D6" i="61"/>
  <c r="D5" i="61"/>
  <c r="D4" i="61"/>
  <c r="B23" i="35"/>
  <c r="B25" i="35" s="1"/>
  <c r="E1" i="32" s="1"/>
  <c r="N42" i="25"/>
  <c r="L67" i="23"/>
  <c r="L45" i="23"/>
  <c r="L46" i="23" s="1"/>
  <c r="M42" i="25"/>
  <c r="K67" i="23"/>
  <c r="K45" i="23"/>
  <c r="K46" i="23" s="1"/>
  <c r="AC46" i="29"/>
  <c r="AC49" i="29" s="1"/>
  <c r="AC9" i="29"/>
  <c r="Q45" i="21"/>
  <c r="Q48" i="21" s="1"/>
  <c r="J67" i="26"/>
  <c r="I67" i="26"/>
  <c r="Z43" i="29"/>
  <c r="Z41" i="29"/>
  <c r="Z39" i="29"/>
  <c r="Z37" i="29"/>
  <c r="Z46" i="29" s="1"/>
  <c r="Z49" i="29" s="1"/>
  <c r="Z13" i="29"/>
  <c r="Z9" i="29"/>
  <c r="R52" i="28"/>
  <c r="R54" i="28" s="1"/>
  <c r="R70" i="28" s="1"/>
  <c r="R73" i="28" s="1"/>
  <c r="J67" i="23"/>
  <c r="J69" i="23" s="1"/>
  <c r="J45" i="23"/>
  <c r="J46" i="23" s="1"/>
  <c r="Q52" i="28"/>
  <c r="Q54" i="28" s="1"/>
  <c r="Q70" i="28" s="1"/>
  <c r="Q73" i="28" s="1"/>
  <c r="P45" i="21"/>
  <c r="P48" i="21" s="1"/>
  <c r="X46" i="29"/>
  <c r="X49" i="29" s="1"/>
  <c r="I45" i="23"/>
  <c r="I46" i="23" s="1"/>
  <c r="I67" i="23"/>
  <c r="W46" i="29"/>
  <c r="W49" i="29" s="1"/>
  <c r="U46" i="29"/>
  <c r="U49" i="29" s="1"/>
  <c r="V46" i="29"/>
  <c r="V49" i="29" s="1"/>
  <c r="E4" i="61" l="1"/>
  <c r="E8" i="61"/>
  <c r="E5" i="61"/>
  <c r="E6" i="61"/>
  <c r="E7" i="61"/>
  <c r="E9" i="61"/>
  <c r="E10" i="61"/>
  <c r="E11" i="61"/>
  <c r="H22" i="64"/>
  <c r="H34" i="64"/>
  <c r="H46" i="64"/>
  <c r="H47" i="64"/>
  <c r="H24" i="64"/>
  <c r="H36" i="64"/>
  <c r="H48" i="64"/>
  <c r="H26" i="64"/>
  <c r="H38" i="64"/>
  <c r="H50" i="64"/>
  <c r="H27" i="64"/>
  <c r="H39" i="64"/>
  <c r="H51" i="64"/>
  <c r="H23" i="64"/>
  <c r="H28" i="64"/>
  <c r="H40" i="64"/>
  <c r="H21" i="64"/>
  <c r="H35" i="64"/>
  <c r="H37" i="64"/>
  <c r="H29" i="64"/>
  <c r="H41" i="64"/>
  <c r="H30" i="64"/>
  <c r="H42" i="64"/>
  <c r="H31" i="64"/>
  <c r="H43" i="64"/>
  <c r="H49" i="64"/>
  <c r="H32" i="64"/>
  <c r="H44" i="64"/>
  <c r="H33" i="64"/>
  <c r="H45" i="64"/>
  <c r="H25" i="64"/>
  <c r="D51" i="64"/>
  <c r="D26" i="64"/>
  <c r="D38" i="64"/>
  <c r="D28" i="64"/>
  <c r="D40" i="64"/>
  <c r="D30" i="64"/>
  <c r="D42" i="64"/>
  <c r="D39" i="64"/>
  <c r="D31" i="64"/>
  <c r="D43" i="64"/>
  <c r="D29" i="64"/>
  <c r="D32" i="64"/>
  <c r="D44" i="64"/>
  <c r="D27" i="64"/>
  <c r="D33" i="64"/>
  <c r="D45" i="64"/>
  <c r="D22" i="64"/>
  <c r="D34" i="64"/>
  <c r="D46" i="64"/>
  <c r="D48" i="64"/>
  <c r="D23" i="64"/>
  <c r="D35" i="64"/>
  <c r="D47" i="64"/>
  <c r="D49" i="64"/>
  <c r="D24" i="64"/>
  <c r="D36" i="64"/>
  <c r="D21" i="64"/>
  <c r="D41" i="64"/>
  <c r="D50" i="64"/>
  <c r="D25" i="64"/>
  <c r="D37" i="64"/>
  <c r="R53" i="28"/>
  <c r="Q53" i="28"/>
  <c r="P52" i="28"/>
  <c r="P54" i="28" s="1"/>
  <c r="P70" i="28" s="1"/>
  <c r="P73" i="28" s="1"/>
  <c r="O45" i="21"/>
  <c r="O48" i="21" s="1"/>
  <c r="O52" i="28"/>
  <c r="O54" i="28" s="1"/>
  <c r="O70" i="28" s="1"/>
  <c r="O73" i="28" s="1"/>
  <c r="L42" i="25"/>
  <c r="L45" i="25" s="1"/>
  <c r="I47" i="64" s="1"/>
  <c r="N52" i="28"/>
  <c r="N53" i="28" s="1"/>
  <c r="K42" i="25"/>
  <c r="T46" i="29"/>
  <c r="T49" i="29" s="1"/>
  <c r="S46" i="29"/>
  <c r="S49" i="29" s="1"/>
  <c r="N45" i="21"/>
  <c r="N48" i="21" s="1"/>
  <c r="R46" i="29"/>
  <c r="R49" i="29" s="1"/>
  <c r="M45" i="21"/>
  <c r="M48" i="21" s="1"/>
  <c r="O46" i="29"/>
  <c r="O49" i="29" s="1"/>
  <c r="M52" i="28"/>
  <c r="M53" i="28" s="1"/>
  <c r="I45" i="24"/>
  <c r="I46" i="24" s="1"/>
  <c r="I67" i="24"/>
  <c r="J42" i="25"/>
  <c r="I42" i="25"/>
  <c r="L52" i="28"/>
  <c r="L53" i="28" s="1"/>
  <c r="K52" i="28"/>
  <c r="K53" i="28" s="1"/>
  <c r="H67" i="23"/>
  <c r="H69" i="23" s="1"/>
  <c r="H45" i="23"/>
  <c r="H46" i="23" s="1"/>
  <c r="K13" i="29"/>
  <c r="I9" i="29"/>
  <c r="L45" i="21"/>
  <c r="L48" i="21" s="1"/>
  <c r="K45" i="21"/>
  <c r="K48" i="21" s="1"/>
  <c r="J45" i="21"/>
  <c r="J48" i="21" s="1"/>
  <c r="I45" i="21"/>
  <c r="I48" i="21" s="1"/>
  <c r="J52" i="28"/>
  <c r="J53" i="28" s="1"/>
  <c r="H45" i="21"/>
  <c r="H48" i="21" s="1"/>
  <c r="F70" i="28"/>
  <c r="G70" i="28"/>
  <c r="I70" i="28"/>
  <c r="I73" i="28" s="1"/>
  <c r="I52" i="28"/>
  <c r="I54" i="28" s="1"/>
  <c r="I52" i="26"/>
  <c r="G45" i="21"/>
  <c r="G48" i="21" s="1"/>
  <c r="E47" i="64" s="1"/>
  <c r="D54" i="64" l="1"/>
  <c r="H54" i="64"/>
  <c r="E43" i="64"/>
  <c r="E48" i="64"/>
  <c r="E35" i="64"/>
  <c r="E31" i="64"/>
  <c r="E51" i="64"/>
  <c r="E23" i="64"/>
  <c r="E36" i="64"/>
  <c r="E39" i="64"/>
  <c r="E45" i="64"/>
  <c r="E46" i="64"/>
  <c r="E27" i="64"/>
  <c r="E33" i="64"/>
  <c r="E42" i="64"/>
  <c r="E34" i="64"/>
  <c r="E30" i="64"/>
  <c r="E50" i="64"/>
  <c r="E24" i="64"/>
  <c r="E38" i="64"/>
  <c r="E41" i="64"/>
  <c r="E26" i="64"/>
  <c r="E29" i="64"/>
  <c r="E49" i="64"/>
  <c r="E22" i="64"/>
  <c r="E21" i="64"/>
  <c r="E37" i="64"/>
  <c r="E44" i="64"/>
  <c r="E40" i="64"/>
  <c r="E25" i="64"/>
  <c r="E32" i="64"/>
  <c r="E28" i="64"/>
  <c r="I26" i="64"/>
  <c r="I21" i="64"/>
  <c r="I32" i="64"/>
  <c r="I29" i="64"/>
  <c r="I46" i="64"/>
  <c r="I34" i="64"/>
  <c r="I23" i="64"/>
  <c r="I22" i="64"/>
  <c r="I42" i="64"/>
  <c r="I28" i="64"/>
  <c r="I27" i="64"/>
  <c r="F32" i="64"/>
  <c r="F44" i="64"/>
  <c r="F35" i="64"/>
  <c r="F22" i="64"/>
  <c r="F34" i="64"/>
  <c r="F46" i="64"/>
  <c r="F23" i="64"/>
  <c r="F24" i="64"/>
  <c r="F36" i="64"/>
  <c r="F48" i="64"/>
  <c r="F25" i="64"/>
  <c r="F37" i="64"/>
  <c r="F49" i="64"/>
  <c r="F26" i="64"/>
  <c r="F38" i="64"/>
  <c r="F50" i="64"/>
  <c r="F27" i="64"/>
  <c r="F39" i="64"/>
  <c r="F51" i="64"/>
  <c r="F33" i="64"/>
  <c r="F47" i="64"/>
  <c r="F28" i="64"/>
  <c r="F40" i="64"/>
  <c r="F21" i="64"/>
  <c r="F45" i="64"/>
  <c r="F29" i="64"/>
  <c r="F41" i="64"/>
  <c r="F30" i="64"/>
  <c r="F42" i="64"/>
  <c r="F31" i="64"/>
  <c r="F43" i="64"/>
  <c r="I30" i="64"/>
  <c r="I48" i="64"/>
  <c r="I35" i="64"/>
  <c r="I43" i="64"/>
  <c r="G27" i="64"/>
  <c r="G39" i="64"/>
  <c r="G51" i="64"/>
  <c r="G29" i="64"/>
  <c r="G41" i="64"/>
  <c r="G31" i="64"/>
  <c r="G43" i="64"/>
  <c r="G40" i="64"/>
  <c r="G42" i="64"/>
  <c r="G32" i="64"/>
  <c r="G44" i="64"/>
  <c r="G30" i="64"/>
  <c r="G33" i="64"/>
  <c r="G45" i="64"/>
  <c r="G22" i="64"/>
  <c r="G34" i="64"/>
  <c r="G46" i="64"/>
  <c r="G23" i="64"/>
  <c r="G35" i="64"/>
  <c r="G47" i="64"/>
  <c r="G24" i="64"/>
  <c r="G36" i="64"/>
  <c r="G48" i="64"/>
  <c r="G28" i="64"/>
  <c r="G25" i="64"/>
  <c r="G37" i="64"/>
  <c r="G49" i="64"/>
  <c r="G21" i="64"/>
  <c r="G54" i="64" s="1"/>
  <c r="G26" i="64"/>
  <c r="G38" i="64"/>
  <c r="G50" i="64"/>
  <c r="I44" i="64"/>
  <c r="I36" i="64"/>
  <c r="I49" i="64"/>
  <c r="I45" i="64"/>
  <c r="I31" i="64"/>
  <c r="I51" i="64"/>
  <c r="I38" i="64"/>
  <c r="I37" i="64"/>
  <c r="I24" i="64"/>
  <c r="I33" i="64"/>
  <c r="I41" i="64"/>
  <c r="I50" i="64"/>
  <c r="I40" i="64"/>
  <c r="I39" i="64"/>
  <c r="I25" i="64"/>
  <c r="P53" i="28"/>
  <c r="O53" i="28"/>
  <c r="N54" i="28"/>
  <c r="N70" i="28" s="1"/>
  <c r="N73" i="28" s="1"/>
  <c r="M54" i="28"/>
  <c r="M70" i="28" s="1"/>
  <c r="M73" i="28" s="1"/>
  <c r="L54" i="28"/>
  <c r="L70" i="28" s="1"/>
  <c r="L73" i="28" s="1"/>
  <c r="K54" i="28"/>
  <c r="K70" i="28" s="1"/>
  <c r="K73" i="28" s="1"/>
  <c r="J54" i="28"/>
  <c r="J70" i="28" s="1"/>
  <c r="J73" i="28" s="1"/>
  <c r="I53" i="28"/>
  <c r="I54" i="64" l="1"/>
  <c r="E54" i="64"/>
  <c r="F54" i="64"/>
  <c r="J49" i="64"/>
  <c r="J25" i="64"/>
  <c r="J38" i="64"/>
  <c r="J30" i="64"/>
  <c r="J23" i="64"/>
  <c r="J42" i="64"/>
  <c r="J26" i="64"/>
  <c r="J46" i="64"/>
  <c r="J41" i="64"/>
  <c r="J48" i="64"/>
  <c r="J34" i="64"/>
  <c r="J29" i="64"/>
  <c r="J36" i="64"/>
  <c r="J22" i="64"/>
  <c r="J21" i="64"/>
  <c r="J24" i="64"/>
  <c r="J45" i="64"/>
  <c r="J40" i="64"/>
  <c r="J33" i="64"/>
  <c r="J28" i="64"/>
  <c r="J44" i="64"/>
  <c r="J27" i="64"/>
  <c r="J32" i="64"/>
  <c r="J51" i="64"/>
  <c r="J37" i="64"/>
  <c r="J39" i="64"/>
  <c r="J47" i="64"/>
  <c r="J43" i="64"/>
  <c r="J50" i="64"/>
  <c r="J35" i="64"/>
  <c r="J31" i="64"/>
  <c r="G9" i="29"/>
  <c r="L9" i="29" s="1"/>
  <c r="M9" i="29" s="1"/>
  <c r="N9" i="29" s="1"/>
  <c r="F9" i="29"/>
  <c r="K9" i="29" s="1"/>
  <c r="G43" i="29"/>
  <c r="I43" i="29" s="1"/>
  <c r="J43" i="29" s="1"/>
  <c r="F43" i="29"/>
  <c r="G41" i="29"/>
  <c r="I41" i="29" s="1"/>
  <c r="J41" i="29" s="1"/>
  <c r="F41" i="29"/>
  <c r="G39" i="29"/>
  <c r="I39" i="29" s="1"/>
  <c r="J39" i="29" s="1"/>
  <c r="F39" i="29"/>
  <c r="G37" i="29"/>
  <c r="I37" i="29" s="1"/>
  <c r="F37" i="29"/>
  <c r="F32" i="29"/>
  <c r="F29" i="29"/>
  <c r="F25" i="29"/>
  <c r="F21" i="29"/>
  <c r="F17" i="29"/>
  <c r="F12" i="29"/>
  <c r="F4" i="29"/>
  <c r="F67" i="28"/>
  <c r="F63" i="28"/>
  <c r="F59" i="28"/>
  <c r="G54" i="28"/>
  <c r="D52" i="28"/>
  <c r="D53" i="28" s="1"/>
  <c r="F31" i="28" s="1"/>
  <c r="F28" i="28"/>
  <c r="F24" i="28"/>
  <c r="F20" i="28"/>
  <c r="F16" i="28"/>
  <c r="F10" i="28"/>
  <c r="F4" i="28"/>
  <c r="F67" i="26"/>
  <c r="E5" i="26"/>
  <c r="E62" i="26"/>
  <c r="E58" i="26"/>
  <c r="E54" i="26"/>
  <c r="D50" i="26"/>
  <c r="E50" i="26" s="1"/>
  <c r="D45" i="26"/>
  <c r="E23" i="26"/>
  <c r="E19" i="26"/>
  <c r="E15" i="26"/>
  <c r="E11" i="26"/>
  <c r="G42" i="25"/>
  <c r="F10" i="25"/>
  <c r="G39" i="25"/>
  <c r="F39" i="25"/>
  <c r="G37" i="25"/>
  <c r="F37" i="25"/>
  <c r="G35" i="25"/>
  <c r="F35" i="25"/>
  <c r="G33" i="25"/>
  <c r="F33" i="25"/>
  <c r="F28" i="25"/>
  <c r="F24" i="25"/>
  <c r="F20" i="25"/>
  <c r="F16" i="25"/>
  <c r="F4" i="25"/>
  <c r="F67" i="23"/>
  <c r="G67" i="24"/>
  <c r="F58" i="24"/>
  <c r="D50" i="24"/>
  <c r="D45" i="24"/>
  <c r="D46" i="24" s="1"/>
  <c r="F22" i="24"/>
  <c r="F18" i="24"/>
  <c r="F14" i="24"/>
  <c r="F10" i="24"/>
  <c r="E45" i="23"/>
  <c r="E62" i="23"/>
  <c r="E58" i="23"/>
  <c r="E54" i="23"/>
  <c r="E24" i="23"/>
  <c r="E67" i="23" s="1"/>
  <c r="E21" i="23"/>
  <c r="E17" i="23"/>
  <c r="E13" i="23"/>
  <c r="E9" i="23"/>
  <c r="E4" i="23"/>
  <c r="D50" i="23"/>
  <c r="E50" i="23" s="1"/>
  <c r="D45" i="23"/>
  <c r="D46" i="23" s="1"/>
  <c r="J54" i="64" l="1"/>
  <c r="L41" i="29"/>
  <c r="N41" i="29" s="1"/>
  <c r="P41" i="29" s="1"/>
  <c r="Q41" i="29" s="1"/>
  <c r="K41" i="29"/>
  <c r="M41" i="29" s="1"/>
  <c r="K39" i="29"/>
  <c r="M39" i="29" s="1"/>
  <c r="L39" i="29"/>
  <c r="N39" i="29" s="1"/>
  <c r="P39" i="29" s="1"/>
  <c r="Q39" i="29" s="1"/>
  <c r="K43" i="29"/>
  <c r="M43" i="29" s="1"/>
  <c r="L43" i="29"/>
  <c r="N43" i="29" s="1"/>
  <c r="P43" i="29" s="1"/>
  <c r="Q43" i="29" s="1"/>
  <c r="J37" i="29"/>
  <c r="I46" i="29"/>
  <c r="I49" i="29" s="1"/>
  <c r="G46" i="29"/>
  <c r="D46" i="26"/>
  <c r="E45" i="26" s="1"/>
  <c r="F46" i="29"/>
  <c r="F42" i="25"/>
  <c r="E67" i="26"/>
  <c r="F52" i="28"/>
  <c r="F45" i="24"/>
  <c r="F25" i="24"/>
  <c r="F67" i="24" s="1"/>
  <c r="F70" i="24" s="1"/>
  <c r="K37" i="29" l="1"/>
  <c r="L37" i="29"/>
  <c r="J46" i="29"/>
  <c r="J49" i="29" s="1"/>
  <c r="N37" i="29" l="1"/>
  <c r="L46" i="29"/>
  <c r="L49" i="29" s="1"/>
  <c r="M37" i="29"/>
  <c r="M46" i="29" s="1"/>
  <c r="M49" i="29" s="1"/>
  <c r="K46" i="29"/>
  <c r="K49" i="29" s="1"/>
  <c r="N46" i="29" l="1"/>
  <c r="N49" i="29" s="1"/>
  <c r="P37" i="29"/>
  <c r="P46" i="29" l="1"/>
  <c r="P49" i="29" s="1"/>
  <c r="C22" i="64" s="1"/>
  <c r="Q37" i="29"/>
  <c r="Q46" i="29" s="1"/>
  <c r="Q49" i="29" s="1"/>
  <c r="C51" i="64" l="1"/>
  <c r="C38" i="64"/>
  <c r="C26" i="64"/>
  <c r="C50" i="64"/>
  <c r="C21" i="64"/>
  <c r="C41" i="64"/>
  <c r="C33" i="64"/>
  <c r="C32" i="64"/>
  <c r="C35" i="64"/>
  <c r="C39" i="64"/>
  <c r="C24" i="64"/>
  <c r="C48" i="64"/>
  <c r="C43" i="64"/>
  <c r="C45" i="64"/>
  <c r="C47" i="64"/>
  <c r="C46" i="64"/>
  <c r="C44" i="64"/>
  <c r="C37" i="64"/>
  <c r="C29" i="64"/>
  <c r="C31" i="64"/>
  <c r="C40" i="64"/>
  <c r="C36" i="64"/>
  <c r="C27" i="64"/>
  <c r="C49" i="64"/>
  <c r="C30" i="64"/>
  <c r="C25" i="64"/>
  <c r="C34" i="64"/>
  <c r="C23" i="64"/>
  <c r="C42" i="64"/>
  <c r="C28" i="64"/>
  <c r="C54" i="64" l="1"/>
  <c r="C53" i="6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peter.dray@sotera.co.uk</author>
  </authors>
  <commentList>
    <comment ref="N22" authorId="0" shapeId="0" xr:uid="{A56D2DE7-10E4-4EE9-941A-A30E9E1FBD8C}">
      <text>
        <r>
          <rPr>
            <b/>
            <sz val="9"/>
            <color indexed="81"/>
            <rFont val="Tahoma"/>
            <family val="2"/>
          </rPr>
          <t>peter.dray@sotera.co.uk:</t>
        </r>
        <r>
          <rPr>
            <sz val="9"/>
            <color indexed="81"/>
            <rFont val="Tahoma"/>
            <family val="2"/>
          </rPr>
          <t xml:space="preserve">
Entered as high consequence as incompatible goods carried.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<sst xmlns="http://schemas.openxmlformats.org/spreadsheetml/2006/main" count="1640" uniqueCount="457">
  <si>
    <t>No</t>
  </si>
  <si>
    <t>Derailment</t>
  </si>
  <si>
    <t>Yes</t>
  </si>
  <si>
    <t>SMIS266752</t>
  </si>
  <si>
    <t>SMIS267583</t>
  </si>
  <si>
    <t>SMIS324070</t>
  </si>
  <si>
    <t>SMIS267563</t>
  </si>
  <si>
    <t>SMIS267535</t>
  </si>
  <si>
    <t>SMIS267651</t>
  </si>
  <si>
    <t>SMIS267728</t>
  </si>
  <si>
    <t>SMIS267878</t>
  </si>
  <si>
    <t>SMIS268228</t>
  </si>
  <si>
    <t>SMIS269619</t>
  </si>
  <si>
    <t>SMIS269624</t>
  </si>
  <si>
    <t>SMIS2613224</t>
  </si>
  <si>
    <t>SMIS26090</t>
  </si>
  <si>
    <t>SMIS26208</t>
  </si>
  <si>
    <t>SMIS26436</t>
  </si>
  <si>
    <t>SMIS32392</t>
  </si>
  <si>
    <t>SMIS261047</t>
  </si>
  <si>
    <t>SMIS32717</t>
  </si>
  <si>
    <t>SMIS261231</t>
  </si>
  <si>
    <t>SMIS261469</t>
  </si>
  <si>
    <t>SMIS261697</t>
  </si>
  <si>
    <t>SMIS261625</t>
  </si>
  <si>
    <t>SMIS261881</t>
  </si>
  <si>
    <t>SMIS36919</t>
  </si>
  <si>
    <t>SMIS36998</t>
  </si>
  <si>
    <t>SMIS262725</t>
  </si>
  <si>
    <t>SMIS3580</t>
  </si>
  <si>
    <t>SMIS361182</t>
  </si>
  <si>
    <t>SMIS262963</t>
  </si>
  <si>
    <t>SMIS263246</t>
  </si>
  <si>
    <t>SMIS263278</t>
  </si>
  <si>
    <t>SMIS263368</t>
  </si>
  <si>
    <t>SMIS263734</t>
  </si>
  <si>
    <t>SMIS3438</t>
  </si>
  <si>
    <t>SMIS265047</t>
  </si>
  <si>
    <t>SMIS265160</t>
  </si>
  <si>
    <t>SMIS265633</t>
  </si>
  <si>
    <t>SMIS362804</t>
  </si>
  <si>
    <t>SMIS2610276</t>
  </si>
  <si>
    <t>SMIS2610275</t>
  </si>
  <si>
    <t>SMIS2610374</t>
  </si>
  <si>
    <t>SMIS2610427</t>
  </si>
  <si>
    <t>SMIS35243</t>
  </si>
  <si>
    <t>SMIS2611131</t>
  </si>
  <si>
    <t xml:space="preserve"> </t>
  </si>
  <si>
    <t>SMIS2614474</t>
  </si>
  <si>
    <t>SMIS2614481</t>
  </si>
  <si>
    <t>SMIS35336</t>
  </si>
  <si>
    <t>SMIS2614816</t>
  </si>
  <si>
    <t>SMIS2615225</t>
  </si>
  <si>
    <t>SMIS2615525</t>
  </si>
  <si>
    <t>SMIS2615815</t>
  </si>
  <si>
    <t>Train division</t>
  </si>
  <si>
    <t>SMIS2616325</t>
  </si>
  <si>
    <t>SMIS2616506</t>
  </si>
  <si>
    <t>SMIS29981</t>
  </si>
  <si>
    <t>SMIS2616809</t>
  </si>
  <si>
    <t>SMIS35389</t>
  </si>
  <si>
    <t>SMIS2616903</t>
  </si>
  <si>
    <t>SMIS35400</t>
  </si>
  <si>
    <t>SMIS2617149</t>
  </si>
  <si>
    <t>Brake pipe leak</t>
  </si>
  <si>
    <t>Leakage</t>
  </si>
  <si>
    <t>Hot axle box</t>
  </si>
  <si>
    <t>AWS fault</t>
  </si>
  <si>
    <t>Wheel flats</t>
  </si>
  <si>
    <t>Dragging brakes</t>
  </si>
  <si>
    <t>Overspeeding including TPWS OSS activation</t>
  </si>
  <si>
    <t>Insecure door</t>
  </si>
  <si>
    <t>Brakes isolated/defective</t>
  </si>
  <si>
    <t>DG wagon with brakes isolated</t>
  </si>
  <si>
    <t>Incorrect labelling</t>
  </si>
  <si>
    <t>Failed/missing tail lamp</t>
  </si>
  <si>
    <t>Incorrect consist</t>
  </si>
  <si>
    <t>&lt;=40 mph</t>
  </si>
  <si>
    <t>&lt;=75 mph</t>
  </si>
  <si>
    <t>&gt;75 mph</t>
  </si>
  <si>
    <t>Y</t>
  </si>
  <si>
    <t>N</t>
  </si>
  <si>
    <t>How are DGs stored?</t>
  </si>
  <si>
    <t>Impossible</t>
  </si>
  <si>
    <t>Likely</t>
  </si>
  <si>
    <t>Not very likely</t>
  </si>
  <si>
    <t>Does this line or any adjacent line carry passengers</t>
  </si>
  <si>
    <t>Are the DGs Classed as High Consquence</t>
  </si>
  <si>
    <t>How likely was the event to result in a derailment of the DG train</t>
  </si>
  <si>
    <t>Remote, but not impossible</t>
  </si>
  <si>
    <t>responses</t>
  </si>
  <si>
    <t>y</t>
  </si>
  <si>
    <t>1 Explosives</t>
  </si>
  <si>
    <t>3 Flammable liquids</t>
  </si>
  <si>
    <t>4.1 Flammable solids, self-reactive substances, polymerizing substances and solid desensitized explosives</t>
  </si>
  <si>
    <t xml:space="preserve">4.2 Substances liable to spontaneous combustion </t>
  </si>
  <si>
    <t>4.3 Substances which give off flammable gases when wet</t>
  </si>
  <si>
    <t>5.1 Oxidizing substances</t>
  </si>
  <si>
    <t>5.2 Organic peroxides</t>
  </si>
  <si>
    <t>6.1 Toxic substances</t>
  </si>
  <si>
    <t>6.2 Infectious substances</t>
  </si>
  <si>
    <t>7 Radioactive materials</t>
  </si>
  <si>
    <t>8 Corrosive substances</t>
  </si>
  <si>
    <t>9 Miscellaneous dangerous substances and articles (any
substances not falling within Classes 1-8 above)</t>
  </si>
  <si>
    <t>9A Lithium Batteries</t>
  </si>
  <si>
    <t>Precursor to loss of containment</t>
  </si>
  <si>
    <t>Loss of containment</t>
  </si>
  <si>
    <t>What classes of material were carried (can select multiple)?</t>
  </si>
  <si>
    <t>Flammable/explosive</t>
  </si>
  <si>
    <t>Fire</t>
  </si>
  <si>
    <t>Collision</t>
  </si>
  <si>
    <t>Administrative error potentially impacting incident or response</t>
  </si>
  <si>
    <t>Escalation factors</t>
  </si>
  <si>
    <t>Electrification</t>
  </si>
  <si>
    <t>Built up area</t>
  </si>
  <si>
    <t>Tunnel</t>
  </si>
  <si>
    <t>Motorway bridge</t>
  </si>
  <si>
    <t>Derailment precursor</t>
  </si>
  <si>
    <t>What is the typical permissible line speed for the train</t>
  </si>
  <si>
    <t>Are there multiple types of DG carried by the train</t>
  </si>
  <si>
    <t>Tanked/bulk</t>
  </si>
  <si>
    <t>Collection of small containers/packaged?</t>
  </si>
  <si>
    <t>How many wagons are carrying DGs</t>
  </si>
  <si>
    <t>number</t>
  </si>
  <si>
    <t>Score</t>
  </si>
  <si>
    <t>Max</t>
  </si>
  <si>
    <t>Min</t>
  </si>
  <si>
    <t>How likely was the event to result in a collision of the DG train</t>
  </si>
  <si>
    <t>Assessmeny</t>
  </si>
  <si>
    <t>Assessment</t>
  </si>
  <si>
    <t>2.2 Non-flammable, non-toxic gases</t>
  </si>
  <si>
    <t>2.1 Flammable gases</t>
  </si>
  <si>
    <t>2.3 Toxic gases.</t>
  </si>
  <si>
    <t>Not Flammable/explosive</t>
  </si>
  <si>
    <t>Weight</t>
  </si>
  <si>
    <t>Escalation factors - probabilised average</t>
  </si>
  <si>
    <t>Standard scores</t>
  </si>
  <si>
    <t>How likely was the event to result in a loss of containment</t>
  </si>
  <si>
    <t>What is the scale of the potential loss</t>
  </si>
  <si>
    <t xml:space="preserve">Slight </t>
  </si>
  <si>
    <t>Major</t>
  </si>
  <si>
    <t>Minor</t>
  </si>
  <si>
    <t>Total</t>
  </si>
  <si>
    <t>Loss of containment precursor</t>
  </si>
  <si>
    <t>Assessed</t>
  </si>
  <si>
    <t>Lossiof containment</t>
  </si>
  <si>
    <t>What is the scale of the loss</t>
  </si>
  <si>
    <t>If there was a sustained fire, how likely was it to impact the DGs</t>
  </si>
  <si>
    <t>Flammable rating</t>
  </si>
  <si>
    <t xml:space="preserve">Did event to result in a sustained fire </t>
  </si>
  <si>
    <t>How likely was the error to have an material impact in on incident?</t>
  </si>
  <si>
    <t>Probability of double jeopaardy event (collision, derailment, fire, realease)</t>
  </si>
  <si>
    <t>Calibration</t>
  </si>
  <si>
    <t>Trial</t>
  </si>
  <si>
    <t>Damaged container</t>
  </si>
  <si>
    <t>Incorrect planning form completion</t>
  </si>
  <si>
    <t>Depot coll.</t>
  </si>
  <si>
    <t>Incorrect consist - probably</t>
  </si>
  <si>
    <t>No consignment note</t>
  </si>
  <si>
    <t>Collision (with train or infrastructure) precursor</t>
  </si>
  <si>
    <t>Misrouting</t>
  </si>
  <si>
    <t>Wrong TOPs number</t>
  </si>
  <si>
    <t>AWS activation</t>
  </si>
  <si>
    <t>Wagons in reverse order</t>
  </si>
  <si>
    <t>Damaged spigot</t>
  </si>
  <si>
    <t>Sparks from wheel</t>
  </si>
  <si>
    <t>Missing end cap</t>
  </si>
  <si>
    <t>SPAD</t>
  </si>
  <si>
    <t>Late consist</t>
  </si>
  <si>
    <t>Incorrect planned route</t>
  </si>
  <si>
    <t>Missing label in one side</t>
  </si>
  <si>
    <t>Incorrecct documentation</t>
  </si>
  <si>
    <t>Discharge valve open on discharged wagon</t>
  </si>
  <si>
    <t>Lid open</t>
  </si>
  <si>
    <t>Collision with train or infrastructure</t>
  </si>
  <si>
    <t>Precursor to
Collision with train or infrastructure</t>
  </si>
  <si>
    <t>Precursor to
Deralilment</t>
  </si>
  <si>
    <t>Administrative error</t>
  </si>
  <si>
    <t>Collision with objects on the line</t>
  </si>
  <si>
    <t>Suspension faults</t>
  </si>
  <si>
    <t>Uneven loads</t>
  </si>
  <si>
    <t>Insecure loads</t>
  </si>
  <si>
    <t>Overweight loads</t>
  </si>
  <si>
    <t>SPADs</t>
  </si>
  <si>
    <t>Brake failure</t>
  </si>
  <si>
    <t>Track faults</t>
  </si>
  <si>
    <t>Bridge strikes</t>
  </si>
  <si>
    <t>Loose or missing lids/caps</t>
  </si>
  <si>
    <t>Damage to container</t>
  </si>
  <si>
    <t>Damaged/missing spigots</t>
  </si>
  <si>
    <t>Sparks from wheels</t>
  </si>
  <si>
    <t>Hot axle box - smoke or fire</t>
  </si>
  <si>
    <t>Consist errors</t>
  </si>
  <si>
    <t>TOPS errors</t>
  </si>
  <si>
    <t>Wrong safety signs</t>
  </si>
  <si>
    <t>Missing placards</t>
  </si>
  <si>
    <t>Unsuitable planned route</t>
  </si>
  <si>
    <t>Incorrect spacing of DGs</t>
  </si>
  <si>
    <t>Examples</t>
  </si>
  <si>
    <t>Discharge valves open on an empty vessel</t>
  </si>
  <si>
    <t>Isolated brakes</t>
  </si>
  <si>
    <t>Is the line electrified</t>
  </si>
  <si>
    <t>Is the route through built-up areas</t>
  </si>
  <si>
    <t>Is there a high proportion of tunnel sections</t>
  </si>
  <si>
    <t>Escalation factors about the route</t>
  </si>
  <si>
    <t>Input range wagons</t>
  </si>
  <si>
    <t>Does the route involve motorway bridges</t>
  </si>
  <si>
    <t>General Yes/No</t>
  </si>
  <si>
    <t>Derailment precursor inputs</t>
  </si>
  <si>
    <t>Note: The precursor type events have lower multipliers except for electrification as we ask about the route rather than the actual event.</t>
  </si>
  <si>
    <t>Event Score</t>
  </si>
  <si>
    <t>DG wagons factor</t>
  </si>
  <si>
    <t>Calibration factor</t>
  </si>
  <si>
    <t>Collisions with platforms</t>
  </si>
  <si>
    <t>Collisions with trains</t>
  </si>
  <si>
    <t>Sustained fires</t>
  </si>
  <si>
    <t>Guidance</t>
  </si>
  <si>
    <t>Consider the route that is planned.  If the event was on a freight only line, or in a depot or siding, select 'No'.</t>
  </si>
  <si>
    <t>This refers to the high consequence classification from the Pink Pages.</t>
  </si>
  <si>
    <t>This factor separates bulk tank storage from smaller packages/containers.</t>
  </si>
  <si>
    <t>This is across the entire train length.</t>
  </si>
  <si>
    <t>These factors account for potential escalation and the level of exposure to the public and are about the route the train takes.  If the train would not have left the confines of the depot or siding, answer the questions in relation to the depots and sidings rather than the planned route.</t>
  </si>
  <si>
    <t>If the event occurred in a depot or siding, use the lowest permissible speed option, otherwise, use the permissible line speed.</t>
  </si>
  <si>
    <t>Are the DGs classed as High Consequence</t>
  </si>
  <si>
    <t xml:space="preserve">This factor assesses the potential for the reported event to result in a derailment of the train.  In assessing how likely a derailment was, consider the protective measures in place that prevent a derailment and the overall severity of the fault/event.  </t>
  </si>
  <si>
    <t>Buffer collisions</t>
  </si>
  <si>
    <t>Overspeeding</t>
  </si>
  <si>
    <t>4.1 Flammable solids, self-reactive substances, etc</t>
  </si>
  <si>
    <t>9 Miscellaneous dangerous substances and articles</t>
  </si>
  <si>
    <t>Generic Y/N Input</t>
  </si>
  <si>
    <t xml:space="preserve">Derailment </t>
  </si>
  <si>
    <t>2.3 Toxic gases</t>
  </si>
  <si>
    <t>Is the Material flammable or explosive</t>
  </si>
  <si>
    <t>Was the incident in a built-up area?</t>
  </si>
  <si>
    <t>Derailment inputs</t>
  </si>
  <si>
    <t>Collision inputs</t>
  </si>
  <si>
    <t xml:space="preserve">This factor assesses the potential for the reported event to result in a collsions of the train with either another train or the infrastructure.  In assessing how likely a collision was, consider the protective measures in place that prevent a collsions, such as TPWS and the overall severity of the fault/event.  </t>
  </si>
  <si>
    <t>How likely was the event to result in a Collision of the DG train</t>
  </si>
  <si>
    <t>Coll Preursor</t>
  </si>
  <si>
    <t>How likely was the event to result in a loss of DG Containment</t>
  </si>
  <si>
    <t>What was the scale of the potential loss</t>
  </si>
  <si>
    <t xml:space="preserve">Slight refers to events releases of a quantity that are unlikely to escalate or cause harm.  Total refers to the entire inventory of a container/tank.  Major refers to up to a half of the inventory of a container/tank.  </t>
  </si>
  <si>
    <t>Loss of containment precursor inputs</t>
  </si>
  <si>
    <t>How likely was the event to result in a loss of containment of DGs</t>
  </si>
  <si>
    <t>Loss of containment inputs</t>
  </si>
  <si>
    <t>Loss of Containment</t>
  </si>
  <si>
    <t xml:space="preserve">This factor assesses the potential for the reported incident to result in some of the DG material being released.  In assessing how likely a release was, consider the protective measures in place and other events that would need to occur for a loss to take place.  </t>
  </si>
  <si>
    <t>Fire inputs</t>
  </si>
  <si>
    <t>Did the event result in a sustained fire</t>
  </si>
  <si>
    <t>How likely was the error to have a material impact on an incident?</t>
  </si>
  <si>
    <t>How likely is the error to have a material impact</t>
  </si>
  <si>
    <t>Probability of double jeorpardy event</t>
  </si>
  <si>
    <t>Score relativity</t>
  </si>
  <si>
    <t>Collision Precursor</t>
  </si>
  <si>
    <t>Potential loss of containment</t>
  </si>
  <si>
    <t>Rationale</t>
  </si>
  <si>
    <t>This has entirely the same logic as for built-up areas.  The summit tunnel fire (December 1984) highlighted the significance of flammable materials in confined spaces.</t>
  </si>
  <si>
    <t>This carries the same logic as built-up areas, however, it is assumed that up to 5% of the route involved railway bridges, hence the 5% uplift to the potential consequences.</t>
  </si>
  <si>
    <t>Are the DGs Classed as High Consequence</t>
  </si>
  <si>
    <t>The storage of DGs impacts the potential consequences in two ways: (1) Where the material is stored in a collection of small containers, each container provides some containment and reduced the volume of the released material.  (2) Generally, when packaged in small containers, there is a smaller volume of material carried compared to the a tank/bulk carriage  Accounting for both of these factors, a breach of a tank is considered to have 10 times the consequence of a smaller packages.</t>
  </si>
  <si>
    <t>The high consequence classification in the Pink Pages is used to characterise the subset of materials and quantities that present the most significant threat to safety and includes explosives and large volumes of the more flammable materials.  Whilst not the ideal characterisation of the more dangerous materials, it is used to separate those with a high escalation potential, that could result in the highest loss of life.  These (High Consequence DGs) are assumed to be a factor of 10 higher, in terms of consequence than materials that are inherently less dangerous or carried in smaller quantities.</t>
  </si>
  <si>
    <t>The carriage of multiple DGs types can complicate the response to and incident causing delays and can also cause more rapid escalation.  However, there is a significant chance that only one wagon, carrying  a single material, is impacted by the incident.  Hence, when multiple DGs are carried, the consequences are considered to be 50% worse.  This factor accounts for (1) the possible delay in response and faster event development, but also (2) the possibility that the other DGs are not involved.</t>
  </si>
  <si>
    <t xml:space="preserve">The dangerous goods incident in Quebec in July 2013 highlighted the significant of the spread and scale of an incident where there are multiple wagons of of DGs.  The formula applied for multiple wagons is that consequences linearly increase with additional wagons.  The scaling factor is 0.1 per additional wagon.  Hence if there are 10 wagons, the consequenced are double that of there being one wagon.  </t>
  </si>
  <si>
    <t>Admin Error</t>
  </si>
  <si>
    <t>Risk ranking</t>
  </si>
  <si>
    <t xml:space="preserve">Electrification is used to attenuate the consequences as there is potential for it to act as an ignition source when flammable or explosive materials are carried.  For this particular event (a derailment precursor), details of the nature of the material carried are unknown as generally for these types of event, the materials carried are not recorded in SMIS.  For incidents of collision or derailment, a 2x multiplier is used when flammable or explosive materials are carried (the nature of the carried material is recorded more comprehensively for such events).  As the nature of the material is unknown for this incident type a multiplier of 1.5 is applied, which accounts for a possibility that flammable or explosive materials are carried. </t>
  </si>
  <si>
    <t>This factor is used to separate administrative errors with no potential impact on an event from those that could directly cause an incident or impact the escalation.  The higher likelihood that is selected, the more critical the error.</t>
  </si>
  <si>
    <t>The carriage of multiple DGs types can complicate the response to an incident causing delays and can also cause more rapid escalation.  However, there is a significant chance that only one wagon, carrying  a single material, is impacted by the incident.  Hence, when multiple DGs are carried, the consequences are considered to be 50% worse.  This factor accounts for (1) the possible delay in response and faster event development, but also (2) the possibility that the other DGs are not involved.</t>
  </si>
  <si>
    <r>
      <t>This value is used to assess the likelihood that if there was an incident, the error would have made a material impact on the</t>
    </r>
    <r>
      <rPr>
        <sz val="11"/>
        <rFont val="Calibri"/>
        <family val="2"/>
        <scheme val="minor"/>
      </rPr>
      <t xml:space="preserve"> outcome or </t>
    </r>
    <r>
      <rPr>
        <sz val="11"/>
        <color theme="1"/>
        <rFont val="Calibri"/>
        <family val="2"/>
        <scheme val="minor"/>
      </rPr>
      <t xml:space="preserve">escalation.  'Likely' is used for events that would be fortunate not to result in some form of escalation had there been an incident, and hence has a probability of 0.5.  Not very likely has been assessed as a factor of ten lower than likely (a 1 in 20 chance).   Remote, but not impossible, represents a credible but extremely unlikely case, which has been assigned a 1 in 1000 probability.    For those events where escalation was not possible, impossible can be selected, which has a value of zero. </t>
    </r>
  </si>
  <si>
    <t>The storage of DGs impacts the risk in two ways: (1) Where the material is stored in a collection of small containers, each container provides some containment and reduced the volume of the released material.  (2) Generally, when packaged in small containers, there is a smaller volume of material carried compared to the a tank/bulk carriage  Accounting for both of these factors, a breach of a tank is considered to have 10 times the risk of a smaller packages.</t>
  </si>
  <si>
    <r>
      <t xml:space="preserve">The dangerous goods incident in Quebec in July 2013 highlighted the potential significance of the spread and scale of an incident where there are multiple wagons of of DGs.  The formula applied for multiple wagons is that consequences linearly increase with additional wagons.  The scaling factor is 0.1 per additional wagon.  Hence if there are 10 wagons, the consequence are double that of there being one wagon.  </t>
    </r>
    <r>
      <rPr>
        <sz val="11"/>
        <rFont val="Calibri"/>
        <family val="2"/>
        <scheme val="minor"/>
      </rPr>
      <t>This accounts for an assumed 90% chance that escalation to adjacent wagons does not occur.</t>
    </r>
  </si>
  <si>
    <r>
      <t xml:space="preserve">For events that occur as a specific location, such as a collision or derailment, the analogous question asks whether the event occurred in a built-up area.  In such cases, a 2x multiplier is used to account for the potentially increased exposure of the public.  For administrative errors, there is no coincident event such as a collision or derailment, hence the location of any incident is not known.  Hence the question refers to whether there are built-up areas </t>
    </r>
    <r>
      <rPr>
        <sz val="11"/>
        <rFont val="Calibri"/>
        <family val="2"/>
        <scheme val="minor"/>
      </rPr>
      <t>on the route.  If this is option is selected, the assumption is that 20% if the route may be in a built-up area and a 1.2 multiplier is applied.  A multiplier of 2 is selected as this matches the smallest increment in the SPAD risk ranking system, which goes up ib factors of 2 (it is a Log base 2 scale) and most (smaller) incidents would only affect a small area with there only being a fairly low probability of affecting a wider area</t>
    </r>
    <r>
      <rPr>
        <sz val="11"/>
        <color theme="1"/>
        <rFont val="Calibri"/>
        <family val="2"/>
        <scheme val="minor"/>
      </rPr>
      <t>.</t>
    </r>
  </si>
  <si>
    <r>
      <t>Electrificatio</t>
    </r>
    <r>
      <rPr>
        <sz val="11"/>
        <rFont val="Calibri"/>
        <family val="2"/>
        <scheme val="minor"/>
      </rPr>
      <t>n has the</t>
    </r>
    <r>
      <rPr>
        <sz val="11"/>
        <color theme="1"/>
        <rFont val="Calibri"/>
        <family val="2"/>
        <scheme val="minor"/>
      </rPr>
      <t xml:space="preserve"> potential to act as an ignition source when flammable or explosive materials are carried.  For this particular event (administrative errors), details of the nature of the material carried are unknown as generally for these types of event, the materials carried are not recorded in SMIS.  For incidents of collision or derailment, a 2x multiplier is used when flammable or explosive materials are carried (the nature of the carried material is recorded more comprehensively for such events).  As the nature of the material is unknown for this incident type a multiplier of 1.5 is applied, which account for the possibility that flammable or explosive materials are carried. </t>
    </r>
  </si>
  <si>
    <t>This should be the maximum permissible speed for the planned route.  If the issue was detected in a depot or siding such that the train would not enter service, then use the lowest permissible speed option.</t>
  </si>
  <si>
    <t>Consider the route that is planned.  If the event could only occur on a freight only line with no adjacent passenger line, or in a depot or siding, select 'No'.</t>
  </si>
  <si>
    <t>Administrative error inputs</t>
  </si>
  <si>
    <t>This factor separates bulk tank storage from smaller packages/containers. Where multiple types are carried select the most serious goods that could be affected by the admin error.</t>
  </si>
  <si>
    <t>SPAD risk ranking aligned max.</t>
  </si>
  <si>
    <t xml:space="preserve">This factor assesses the potential for the reported event to spread to involve the DGs.  In assessing how likely a fire was to escalate to the dangerous goods, consider the protective measures distance of the fire from the DGs and the type of protection provided by the container.  </t>
  </si>
  <si>
    <t>How likely was the event to result in a loss of containment of the DGs</t>
  </si>
  <si>
    <t>What was the scale of the loss</t>
  </si>
  <si>
    <t>Slight</t>
  </si>
  <si>
    <t>Wrong routing</t>
  </si>
  <si>
    <t>Collision precursor</t>
  </si>
  <si>
    <t>LOC Precursor</t>
  </si>
  <si>
    <t>LOC</t>
  </si>
  <si>
    <t>Not a DG incident</t>
  </si>
  <si>
    <t>Insufficient details</t>
  </si>
  <si>
    <t>No Fault found</t>
  </si>
  <si>
    <t>Loss of containment
precursor</t>
  </si>
  <si>
    <t>Admin error</t>
  </si>
  <si>
    <t>Ranking</t>
  </si>
  <si>
    <t xml:space="preserve">Administrative error </t>
  </si>
  <si>
    <t>Event</t>
  </si>
  <si>
    <t>Max raw score</t>
  </si>
  <si>
    <t>2^30</t>
  </si>
  <si>
    <t>Max. risk ranking rounded</t>
  </si>
  <si>
    <t>Raw score</t>
  </si>
  <si>
    <t>Risk Ranking</t>
  </si>
  <si>
    <t>Classification</t>
  </si>
  <si>
    <t>Full description for chart</t>
  </si>
  <si>
    <t>Number</t>
  </si>
  <si>
    <t>Ranking distribution of ranked events</t>
  </si>
  <si>
    <t>Checksum</t>
  </si>
  <si>
    <t>Ranked SMIS event scores</t>
  </si>
  <si>
    <t>Event type</t>
  </si>
  <si>
    <t>SMIS event</t>
  </si>
  <si>
    <t>Check</t>
  </si>
  <si>
    <t>Note, if unknown, higher rank assigned</t>
  </si>
  <si>
    <t>Lists of the 8 classes of incident</t>
  </si>
  <si>
    <t>Risk Ranking Question Entry Forms</t>
  </si>
  <si>
    <t>Multipliers based upon entry forms</t>
  </si>
  <si>
    <t>Risk score calculation</t>
  </si>
  <si>
    <t>Summary statistics for the 85 ranked events</t>
  </si>
  <si>
    <t>Ranked SMIS events</t>
  </si>
  <si>
    <t>Input ranges</t>
  </si>
  <si>
    <t>Tabs</t>
  </si>
  <si>
    <t>Event type table</t>
  </si>
  <si>
    <t>Admin Form</t>
  </si>
  <si>
    <t>Admin Multi</t>
  </si>
  <si>
    <t>Admin Score</t>
  </si>
  <si>
    <t>Stats and distribution</t>
  </si>
  <si>
    <t>CM Admin Error</t>
  </si>
  <si>
    <t>Event Types</t>
  </si>
  <si>
    <t>Derailment Prec Form</t>
  </si>
  <si>
    <t>Derailment Prec Multi</t>
  </si>
  <si>
    <t>Derailment Prec Score</t>
  </si>
  <si>
    <t>CM Collision Precursor</t>
  </si>
  <si>
    <t>Derailment Form</t>
  </si>
  <si>
    <t>Derailment Multi</t>
  </si>
  <si>
    <t>Derailment Score</t>
  </si>
  <si>
    <t>CM Fire</t>
  </si>
  <si>
    <t>Collision Prec Form</t>
  </si>
  <si>
    <t>Collision Prec Multi</t>
  </si>
  <si>
    <t>Collision Prec Score</t>
  </si>
  <si>
    <t>CM Loss of Contain Pre</t>
  </si>
  <si>
    <t>Collision Form</t>
  </si>
  <si>
    <t>Collision Multi</t>
  </si>
  <si>
    <t>Collision Score</t>
  </si>
  <si>
    <t>CM Collision</t>
  </si>
  <si>
    <t>Fire Form</t>
  </si>
  <si>
    <t>Fire Multi</t>
  </si>
  <si>
    <t>Fire Score</t>
  </si>
  <si>
    <t>CM Loss of containment</t>
  </si>
  <si>
    <t>Loss Cont Pre Form</t>
  </si>
  <si>
    <t>Loss Cont Pre Multi</t>
  </si>
  <si>
    <t>Loss Cont Pre Score</t>
  </si>
  <si>
    <t>CM Derailment</t>
  </si>
  <si>
    <t>Loss Cont Form</t>
  </si>
  <si>
    <t>Loss Cont Multi</t>
  </si>
  <si>
    <t>Loss Cont Score</t>
  </si>
  <si>
    <t>CM Derailment precursor</t>
  </si>
  <si>
    <t>Notes</t>
  </si>
  <si>
    <t>The first two listed have rationale completed</t>
  </si>
  <si>
    <t>A couple of ranges/ lists used in the input forms</t>
  </si>
  <si>
    <t xml:space="preserve">These are the forms with the question sets.  'Loss Cont' is the term used for loss of containment. </t>
  </si>
  <si>
    <t>These tabs complete the calculation based upon the data entry</t>
  </si>
  <si>
    <t>Used to set the calibration with the SPAD Risk Ranking tool (SRRT) based upon the highest rated event being set to 30.</t>
  </si>
  <si>
    <t>Output of the assessment of the ranked events</t>
  </si>
  <si>
    <t>Provided SMIS information</t>
  </si>
  <si>
    <t>These tabs contain the provided SMIS information</t>
  </si>
  <si>
    <t>Chart</t>
  </si>
  <si>
    <t>Combine</t>
  </si>
  <si>
    <t>RN Output</t>
  </si>
  <si>
    <t>SMIS Data input</t>
  </si>
  <si>
    <t>DG Ranking route map</t>
  </si>
  <si>
    <t>Contain a summary of the ramking from the 85 SMIS events - Yellow highlighted values are those of greatest uncertainty</t>
  </si>
  <si>
    <t>Contains examples
These tabs are not used for calculation</t>
  </si>
  <si>
    <t>SMIS Output</t>
  </si>
  <si>
    <t>Calibraton</t>
  </si>
  <si>
    <t>Function of spreadsheet</t>
  </si>
  <si>
    <t>Collision precursor inputs</t>
  </si>
  <si>
    <t>46-60 mph</t>
  </si>
  <si>
    <t>over 60 mph</t>
  </si>
  <si>
    <t>45 mph or less</t>
  </si>
  <si>
    <r>
      <t xml:space="preserve">The permissible speed of the train is used as a factor that is a proxy for the likelihood of DG involvement should a collision or derailment type event occur.  The higher the speed, the higher value is assigned.  Note: the assigned value is not a probability, but a relative measure of involvement.  The maximum value is the reference case and is assigned a value of unity and the lower speeds are assigned lower values.  The low speed case is assigned a value of one fifth if the high speed case and the intermediate case (from 45-60mph is halfway between the two extreme values).    </t>
    </r>
    <r>
      <rPr>
        <sz val="11"/>
        <color rgb="FFFF0000"/>
        <rFont val="Calibri"/>
        <family val="2"/>
        <scheme val="minor"/>
      </rPr>
      <t xml:space="preserve"> </t>
    </r>
    <r>
      <rPr>
        <sz val="11"/>
        <color theme="1"/>
        <rFont val="Calibri"/>
        <family val="2"/>
        <scheme val="minor"/>
      </rPr>
      <t>The speed classes match the train perporting number codes.</t>
    </r>
  </si>
  <si>
    <t>Was there a TOPS entry error</t>
  </si>
  <si>
    <t>TOPS entry error</t>
  </si>
  <si>
    <t>This accounts for potential escalation due to entry errors resulting in an incorrect or delayed response to the incident</t>
  </si>
  <si>
    <t>Tops error?</t>
  </si>
  <si>
    <t>Water courses</t>
  </si>
  <si>
    <t>This carries the same logic as built-up areas.  Water courses are a potential method for the released material to spread and may also cause invironmental harm.</t>
  </si>
  <si>
    <t>Does the route involve water courses</t>
  </si>
  <si>
    <t xml:space="preserve">Was the incident near a watercourse? </t>
  </si>
  <si>
    <t>Watercourse</t>
  </si>
  <si>
    <t>Did the incident occur at a watercourse</t>
  </si>
  <si>
    <t>Does the route involve watercourses</t>
  </si>
  <si>
    <t>Tops entry error</t>
  </si>
  <si>
    <t>Tops error</t>
  </si>
  <si>
    <t>Water course</t>
  </si>
  <si>
    <t>Water Courses</t>
  </si>
  <si>
    <t>TOPS Error</t>
  </si>
  <si>
    <t>Did the incident involve water courses</t>
  </si>
  <si>
    <t>This accounts for potential escalation due to entry errors resulting in an incorrect or delayed response to the incident.  It covers situations where TOPS does not match the consist.</t>
  </si>
  <si>
    <t>Select  the class of event</t>
  </si>
  <si>
    <t>An event that results in any of the train wheels leaving the track</t>
  </si>
  <si>
    <t>An event that didn’t result in a derailment, but if it was left to escalate, or under different circumstances could have directly resulted in a derailment.</t>
  </si>
  <si>
    <t>An event that resulting a collision between the dangerous goods trains and another train, a buffer or other item of infrastructure such as a station platform.</t>
  </si>
  <si>
    <t>An event that didn’t result in a collision, but if it was left to escalate, or under different circumstances could have directly resulted in a collision.</t>
  </si>
  <si>
    <t>An unplanned release of a quantity of dangerous goods.</t>
  </si>
  <si>
    <t>An event that didn’t result in a release of dangerous goods, but if it was left to escalate, or under different circumstances could have directly resulted in a release.</t>
  </si>
  <si>
    <t>A fire or report of smoke on some part of a train, which is carrying dangerous goods</t>
  </si>
  <si>
    <t>This wider category of events includes all other types of management system failures.  The most common of which are TOPS and consist errors.   These events would normally require a coincident failure to results in harm to personnel or the environment.</t>
  </si>
  <si>
    <t>Definitions</t>
  </si>
  <si>
    <t xml:space="preserve">This value is used to assess the likelihood that the derailment precursor results in a derailment.  'Likely' is used for events that were fortunate not to have resulted in a derailment, and hence has a probability of 0.5.  Not very likely has been assessed as a factor of ten lower than likely (a 1 in 20 chance).   Remote, but not impossible, represents a credible but extremely unlikely case, which has been assigned a 1 in 1000 probability.    For those events where escalation was not possible, impossible can be selected, which has a value of zero. </t>
  </si>
  <si>
    <t xml:space="preserve">The permissible speed of the train is used as a factor that is a proxy for the likelihood of DG involvement should a collision or derailment type event occur.  The higher the speed, the higher value is assigned.  Note: the assigned value is not a probability, but a relative measure of involvement.  The maximum value is the reference case and is assigned a value of unity and the lower speeds are assigned lower values.  The low speed case is assigned a value of one fifth of the high speed case and the intermediate case (from 46-60 mph is halfway between the two extreme values).     </t>
  </si>
  <si>
    <t>TOPS entry errors have the potential to delay the response to an incident due to confusion over the materials carried and their location on the train.  The response time may be time critical.  In the worst case, it is possible that an incorrect response may be made through a judgement that the materials involved are not the ones that are reported.  The increase in risk is assumed to be a factor of two, this is considered to strike a balance between the worst case scenario and errors that would have no material impact on incident response.</t>
  </si>
  <si>
    <t xml:space="preserve">Electrification is used to attenuate the consequences as there is potential for it to act as an ignition source when flammable or explosive materials are carried.  For this particular event (derailment), details of the nature of the material carried are recorded in SMIS.  For incidents of collision or derailment, a 2x multiplier is used when flammable or explosive materials are carried (the nature of the carried material is recorded more comprehensively for such events).  </t>
  </si>
  <si>
    <t xml:space="preserve">For events that occur at a specific location, such as a collision or derailment, the analogous question asks whether the event occurred in a built-up area.  In such cases, a 2x multiplier is used to account for the potentially increased exposure of the public.  For precursor events, there is no accident as there would be for a collision or derailment, hence the location of any incident is not known.  Consequently, the question refers to whether there are built-up areas on the route.  If this is option is selected, the assumption is that 20% if the route may be in a built-up area and a 1.2 multiplier is applied.  </t>
  </si>
  <si>
    <t>This carries the same logic as built-up areas.</t>
  </si>
  <si>
    <t xml:space="preserve">For events that occur as a specific location, such as a collision or derailment, the analogous question asks whether the event occurred in a built-up area.  In such cases, a 2x multiplier is used to account for the potentially increased exposure of the public.  For precursor events, there is no accident as there would be for a collision or derailment, hence the location of any incident is not known.  Consequently, the question refers to whether there are built-up areas on the route.  If this is option is selected, the assumption is that 20% of the route may be in a built-up area and a 1.2 multiplier is applied.  </t>
  </si>
  <si>
    <t xml:space="preserve">This value is used to assess the likelihood that the collision precursor results in a collsion.  'Likely' is used for events that were fortunate not to have resulted in a collision, and hence has a probability of 0.5.  Not very likely has been assessed as a factor of ten lower than likely (a 1 in 20 chance).   Remote, but not impossible, represents a credible but extremely unlikely case, which has been assigned a 1 in 1000 probability.    For those events where escalation was not possible, impossible can be selected, which has a value of zero. </t>
  </si>
  <si>
    <t xml:space="preserve">Electrification is used to attenuate the consequences as there is potential for it to act as an ignition source when flammable or explosive materials are carried.  For this particular event (a collision precursor), details of the nature of the material carried are unknown as generally for these types of event, the materials carried are not recorded in SMIS.  For incidents of collision or derailment, a 2x multiplier is used when flammable or explosive materials are carried (the nature of the carried material is recorded more comprehensively for such events).  As the nature of the material is unknown for this incident type a multiplier of 1.5 is applied, which accounts for a possibility that flammable or explosive materials are carried. </t>
  </si>
  <si>
    <t xml:space="preserve">The carriage of passengers on the incident or adjacent line accounts for the potential increase in exposure that would exist if a passenger train was involved.  The multiplier accounts for two factors: (1) The number of exposed personnel in the other train (which could be a factor of 100 higher than a freight only incident), however, this is attenuated by the possibility that despite the passenger line, (2) there may be no passenger train in the vicinity, or mitigating action may have kept the passenger train at safe distance.   Note: The weighting of this factors varies between incident types, (2) it is most likely to be relevant for collision events as this event type carries the highest likelihood of passenger train involvement (this carries a 5x multipler).  For derailment, there is a lower chance of escalation of involving a second tain compared to collision, but the train is likley to impinge the adjacent line, hence a 3x multiplier is adopted.  For events such as fire and loss of containment, the involvement of a passenger train is less likely, therefore a 1.5x  multiplier is adopted.  </t>
  </si>
  <si>
    <t>The carriage of passengers on the incident or adjacent line accounts for the potential increase in exposure that would exist if a passenger train was involved.  The multiplier accounts for two factors: (1) The number of exposed personnel in the other train (which could be a factor of 100 higher than a freight only incident), however, this is attenuated by the possibility that despite the passenger line, (2) there may be no passenger train in the vicinity, or mitigating action may have kept the passenger train at safe distance.   Note: The weighting of this factors varies between incident types, (2) it is most likely to be relevant for collision events as this event type carries the highest likelihood of passenger train involvement (this carries a 5x multipler).  For derailment, there is a lower chance of escalation of involving a second tain compared to collision, but the train is likley to impinge the adjacent line, hence a 3x multiplier is adopted.  For events such as fire and loss of containment, the involvement of a passenger train is less likely, therefore a 1.5x  multiplier is adopted.  For administrative errors, there is the need for a coincident event to occur (which is factored in separately), this could be a collision, therefore the 5x multiplier is adopted.</t>
  </si>
  <si>
    <t>TOPS entry errors have the potential to delay the response to an incident due to confusion over the materials carried and their location on the train.  The response time may be time critical.  In the worst case, it is possible than an incorrect response may be made through a judgement that the materials involved are not the ones that are reported.  The increase in risk is assumed to be a factor of two, this is considered to strike a balance between the worst case scenario and errors that would have no material impact on incident response.</t>
  </si>
  <si>
    <t>TOPS entry errors have the potential to delay the response to an incident due to confusion over the materials carried and their location on the train.  The response time may be time critical.  In the worst case, it is possible than an incorrect response may be made through a judgement that the materials involved are not the ones that are reported.</t>
  </si>
  <si>
    <t xml:space="preserve">Electrification is used to attenuate the consequences as there is potential for it to act as an ignition source when flammable or explosive materials are carried.  For this particular event (collision), details of the nature of the material carried are recorded in SMIS.  For incidents of collision or derailment, a 2x multiplier is used when flammable or explosive materials are carried (the nature of the carried material is recorded more comprehensively for such events).  </t>
  </si>
  <si>
    <t xml:space="preserve">Only in cases where there is a sustained fire (eg, not self extinguishing) is there the potential for the fire to spread to the dangerous goods.  Hence, if the fire is not sustained, only a nominal likelihood is applied in the assessment.     </t>
  </si>
  <si>
    <t xml:space="preserve">This value is used to assess the likelihood that the fire spreads to the dangerous goods, assuming that a sustained fire has occurred.   The same likleihood system applies throughout all event types.  'Likely' is used for events that were fortunate not to have resulted in spread to the DGs, and hence has a probability of 0.5.  Not very likely has been assessed as a factor of ten lower than likely (a 1 in 20 chance).   Remote, but not impossible, represents a credible but extremely unlikely case, which has been assigned a 1 in 1000 probability.    For those events where escalation was not possible, impossible can be selected, which has a value of zero. </t>
  </si>
  <si>
    <t xml:space="preserve">Electrification is used to attenuate the consequences as there is potential for it to act as an ignition source when flammable or explosive materials are carried.  For this particular event (fire), details of the nature of the material carried are recorded in SMIS.  For incidents of collision or derailment, a 2x multiplier is used when flammable or explosive materials are carried (the nature of the carried material is recorded more comprehensively for such events).  </t>
  </si>
  <si>
    <t xml:space="preserve">For events that occur at a specific location, such as a fire, collision or derailment, the analogous question asks whether the event occurred in a built-up area.  In such cases, a 2x multiplier is used to account for the potentially increased exposure of the public.  For precursor events, there is no accident as there would be for a collision or derailment, hence the location of any incident is not known.  Consequently, the question refers to whether there are built-up areas on the route.  If this is option is selected, the assumption is that 20% if the route may be in a built-up area and a 1.2 multiplier is applied.  </t>
  </si>
  <si>
    <t xml:space="preserve">This value is used to assess the likelihood that the loss of containment precursor results in a loss of containment .  The same system is used across all precursor events for the purposes of consistency.  'Likely' is used for events that were fortunate not to have resulted in a loss of containment, and hence has a probability of 0.5.  Not very likely has been assessed as a factor of ten lower than likely (a 1 in 20 chance).   Remote, but not impossible, represents a credible but extremely unlikely case, which has been assigned a 1 in 1000 probability.    For those events where escalation was not possible, impossible can be selected, which has a value of zero. </t>
  </si>
  <si>
    <t>The scale of the potential loss is used to account for the proportion of the material that is potentially leaked.  Total carries a rating of 1 and means the entire inventory.  Major is set to 10% of the carried material as this would still be a significant quantity of material.  Slight refers to a very small quantity, equivalent to 1% of the of load.  Minor is set to half way between slight and major (on a log scale).</t>
  </si>
  <si>
    <t>The scale of the  loss is used to account for the proportion of the material that isleaked.  Total carries a rating of 1 and means the entire inventory.  Major is set to 10% of the carried material as this would still be a significant quantity of material.  Slight refers to a very small quantity, equivalent to 1% of the of load.  Minor is set to half way between slight and major (on a log scale).</t>
  </si>
  <si>
    <t xml:space="preserve">Electrification is used to attenuate the consequences as there is potential for it to act as an ignition source when flammable or explosive materials are carried.  For this particular event (loss of containment), details of the nature of the material carried are recorded in SMIS.  For incidents of loss of containment, collision or derailment, a 2x multiplier is used when flammable or explosive materials are carried (the nature of the carried material is recorded more comprehensively for such events).  </t>
  </si>
  <si>
    <t>Scope</t>
  </si>
  <si>
    <t xml:space="preserve">The scope of the dangerous goods risk ranking tool is all reportable incidents under RIS-8047-TOM that relate to the carriage of dangerous goods by rail.  This includes incidents during the loading, unloading, checking, routing, transport and storage of vehicles.   </t>
  </si>
  <si>
    <t>Note that risk ranking system is only to be used for the carriage of dangerous goods by rail.  Other incidents involving hazardous materials should not apply the risk ranking.  For example, if a gas main was damaged during track maintenance, the event would not be within the scope of this tool.</t>
  </si>
  <si>
    <t>Process</t>
  </si>
  <si>
    <t>Step 1</t>
  </si>
  <si>
    <t>Information on the route, such as whether it is freight only,electrified and through built-up areas.</t>
  </si>
  <si>
    <t>Information about the type of incident and the TOPS details for the train.</t>
  </si>
  <si>
    <t>Step 2</t>
  </si>
  <si>
    <t>Step 3</t>
  </si>
  <si>
    <t xml:space="preserve">The event types are described in the 'Step 2 - Classify the event' tab </t>
  </si>
  <si>
    <t>By selecting the relevant incident type in the Step 2 tab, a set of questions will be presented.  The responses are selected using the drop-down list.  The risk ranking is shown in cell E1 of the relevant tab</t>
  </si>
  <si>
    <t>This includes details about the train, the permissible speed, number of wagons and goods carried.</t>
  </si>
  <si>
    <t>Average</t>
  </si>
  <si>
    <t>Did the fire involve the DGs</t>
  </si>
  <si>
    <t>If the fire didn't involve the DGs, how likely was ecalation to involve them?</t>
  </si>
  <si>
    <t>Were DGs involved</t>
  </si>
  <si>
    <t>If the DGs are involved, rather than being at risk of being involved the consequesnces are escalated.  Considered significantly worse that if involvement was 'Likely'.</t>
  </si>
  <si>
    <t>Were DGs involved?</t>
  </si>
  <si>
    <t>DG involvement overall</t>
  </si>
  <si>
    <t>Containers/packages</t>
  </si>
  <si>
    <t>A sustained fire is one that does not self extinguish and required intervention to prevent escalation.</t>
  </si>
  <si>
    <t>If the fire impacted the DGs, 'Yes' should be selected.</t>
  </si>
  <si>
    <t>Is the line electrified?</t>
  </si>
  <si>
    <t>Was the incident in or near a tunnel?</t>
  </si>
  <si>
    <t>Was the incident at a motoway bridge?</t>
  </si>
  <si>
    <t>Does the route pass over watercourses?</t>
  </si>
  <si>
    <t>Was the incident near a water course</t>
  </si>
  <si>
    <t>Is the route through built-up areas?</t>
  </si>
  <si>
    <t>Is there a high proportion of tunnel sections?</t>
  </si>
  <si>
    <t>Does the route involve motorway bridges?</t>
  </si>
  <si>
    <t>Does the route pass over water courses?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</si>
</sst>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8"/>
      <name val="Calibri"/>
      <family val="2"/>
      <scheme val="minor"/>
    </font>
    <font>
      <i/>
      <sz val="11"/>
      <color theme="1"/>
      <name val="Calibri"/>
      <family val="2"/>
      <scheme val="minor"/>
    </font>
    <font>
      <b/>
      <i/>
      <sz val="11"/>
      <color theme="1"/>
      <name val="Calibri"/>
      <family val="2"/>
      <scheme val="minor"/>
    </font>
    <font>
      <sz val="11"/>
      <color rgb="FFFF0000"/>
      <name val="Calibri"/>
      <family val="2"/>
      <scheme val="minor"/>
    </font>
    <font>
      <sz val="11"/>
      <name val="Calibri"/>
      <family val="2"/>
      <scheme val="minor"/>
    </font>
    <font>
      <i/>
      <sz val="11"/>
      <name val="Calibri"/>
      <family val="2"/>
      <scheme val="minor"/>
    </font>
    <font>
      <sz val="11"/>
      <color rgb="FF000000"/>
      <name val="Calibri"/>
      <family val="2"/>
    </font>
    <font>
      <u/>
      <sz val="11"/>
      <color theme="10"/>
      <name val="Calibri"/>
      <family val="2"/>
      <scheme val="minor"/>
    </font>
    <font>
      <b/>
      <u/>
      <sz val="11"/>
      <color rgb="FFFFFF00"/>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theme="4" tint="0.59996337778862885"/>
        <bgColor indexed="64"/>
      </patternFill>
    </fill>
    <fill>
      <patternFill patternType="solid">
        <fgColor theme="4" tint="0.59999389629810485"/>
        <bgColor indexed="64"/>
      </patternFill>
    </fill>
    <fill>
      <patternFill patternType="solid">
        <fgColor theme="0"/>
        <bgColor indexed="64"/>
      </patternFill>
    </fill>
    <fill>
      <patternFill patternType="solid">
        <fgColor rgb="FF002060"/>
        <bgColor indexed="64"/>
      </patternFill>
    </fill>
    <fill>
      <patternFill patternType="solid">
        <fgColor theme="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8" tint="0.599963377788628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9" tint="0.59996337778862885"/>
        <bgColor indexed="64"/>
      </patternFill>
    </fill>
    <fill>
      <patternFill patternType="solid">
        <fgColor theme="4" tint="0.79998168889431442"/>
        <bgColor indexed="64"/>
      </patternFill>
    </fill>
  </fills>
  <borders count="10">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0" fontId="11" fillId="0" borderId="0" applyNumberFormat="0" applyFill="0" applyBorder="0" applyAlignment="0" applyProtection="0"/>
  </cellStyleXfs>
  <cellXfs count="126">
    <xf numFmtId="0" fontId="0" fillId="0" borderId="0" xfId="0"/>
    <xf numFmtId="0" fontId="1" fillId="0" borderId="0" xfId="0" applyFont="1"/>
    <xf numFmtId="3" fontId="0" fillId="0" borderId="0" xfId="0" applyNumberFormat="1"/>
    <xf numFmtId="0" fontId="0" fillId="2" borderId="0" xfId="0" applyFill="1"/>
    <xf numFmtId="0" fontId="0" fillId="0" borderId="0" xfId="0" applyAlignment="1">
      <alignment wrapText="1"/>
    </xf>
    <xf numFmtId="1" fontId="0" fillId="0" borderId="0" xfId="0" applyNumberFormat="1"/>
    <xf numFmtId="0" fontId="0" fillId="0" borderId="1" xfId="0" applyBorder="1"/>
    <xf numFmtId="0" fontId="5" fillId="0" borderId="0" xfId="0" applyFont="1"/>
    <xf numFmtId="0" fontId="0" fillId="0" borderId="2" xfId="0" applyBorder="1"/>
    <xf numFmtId="0" fontId="1" fillId="3" borderId="2" xfId="0" applyFont="1" applyFill="1" applyBorder="1"/>
    <xf numFmtId="0" fontId="5" fillId="0" borderId="0" xfId="0" applyFont="1" applyAlignment="1">
      <alignment horizontal="left"/>
    </xf>
    <xf numFmtId="0" fontId="0" fillId="0" borderId="0" xfId="0" applyAlignment="1">
      <alignment horizontal="center" vertical="center"/>
    </xf>
    <xf numFmtId="0" fontId="0" fillId="0" borderId="0" xfId="0" applyFont="1" applyAlignment="1">
      <alignment horizontal="left"/>
    </xf>
    <xf numFmtId="0" fontId="0" fillId="0" borderId="0" xfId="0" applyFont="1"/>
    <xf numFmtId="0" fontId="0" fillId="0" borderId="0" xfId="0" applyFont="1" applyFill="1" applyAlignment="1">
      <alignment horizontal="left" wrapText="1"/>
    </xf>
    <xf numFmtId="164" fontId="0" fillId="0" borderId="0" xfId="0" applyNumberFormat="1"/>
    <xf numFmtId="0" fontId="0" fillId="5" borderId="0" xfId="0" applyFill="1"/>
    <xf numFmtId="0" fontId="0" fillId="0" borderId="0" xfId="0" applyAlignment="1">
      <alignment horizontal="center" vertical="center" wrapText="1"/>
    </xf>
    <xf numFmtId="0" fontId="1" fillId="0" borderId="0" xfId="0" applyFont="1" applyFill="1" applyAlignment="1">
      <alignment horizontal="left" wrapText="1"/>
    </xf>
    <xf numFmtId="0" fontId="1" fillId="0" borderId="3" xfId="0" applyFont="1" applyBorder="1"/>
    <xf numFmtId="0" fontId="1" fillId="0" borderId="4" xfId="0" applyFont="1" applyBorder="1"/>
    <xf numFmtId="0" fontId="0" fillId="0" borderId="4" xfId="0" applyBorder="1"/>
    <xf numFmtId="0" fontId="1" fillId="0" borderId="6" xfId="0" applyFont="1" applyBorder="1"/>
    <xf numFmtId="0" fontId="0" fillId="0" borderId="0" xfId="0" applyBorder="1"/>
    <xf numFmtId="0" fontId="5" fillId="0" borderId="0" xfId="0" applyFont="1" applyBorder="1"/>
    <xf numFmtId="0" fontId="1" fillId="0" borderId="8" xfId="0" applyFont="1" applyBorder="1"/>
    <xf numFmtId="0" fontId="5" fillId="0" borderId="1" xfId="0" applyFont="1" applyBorder="1"/>
    <xf numFmtId="0" fontId="0" fillId="0" borderId="5" xfId="0" applyBorder="1"/>
    <xf numFmtId="0" fontId="0" fillId="0" borderId="0" xfId="0" applyFont="1" applyBorder="1" applyAlignment="1">
      <alignment horizontal="left"/>
    </xf>
    <xf numFmtId="0" fontId="0" fillId="0" borderId="7" xfId="0" applyFont="1" applyBorder="1" applyAlignment="1">
      <alignment horizontal="left"/>
    </xf>
    <xf numFmtId="0" fontId="0" fillId="0" borderId="1" xfId="0" applyFont="1" applyBorder="1"/>
    <xf numFmtId="0" fontId="0" fillId="0" borderId="9" xfId="0" applyFont="1" applyBorder="1"/>
    <xf numFmtId="0" fontId="0" fillId="0" borderId="0" xfId="0" applyFont="1" applyFill="1" applyBorder="1" applyAlignment="1">
      <alignment horizontal="left" wrapText="1"/>
    </xf>
    <xf numFmtId="0" fontId="0" fillId="0" borderId="1" xfId="0" applyFont="1" applyFill="1" applyBorder="1" applyAlignment="1">
      <alignment horizontal="left" wrapText="1"/>
    </xf>
    <xf numFmtId="0" fontId="0" fillId="0" borderId="9" xfId="0" applyBorder="1"/>
    <xf numFmtId="0" fontId="1" fillId="3" borderId="0" xfId="0" applyFont="1" applyFill="1"/>
    <xf numFmtId="0" fontId="0" fillId="3" borderId="0" xfId="0" applyFill="1"/>
    <xf numFmtId="0" fontId="6" fillId="3" borderId="0" xfId="0" applyFont="1" applyFill="1"/>
    <xf numFmtId="0" fontId="0" fillId="3" borderId="0" xfId="0" applyFont="1" applyFill="1"/>
    <xf numFmtId="0" fontId="1" fillId="3" borderId="0" xfId="0" applyFont="1" applyFill="1" applyBorder="1"/>
    <xf numFmtId="0" fontId="0" fillId="3" borderId="0" xfId="0" applyFill="1" applyBorder="1"/>
    <xf numFmtId="0" fontId="0" fillId="3" borderId="0" xfId="0" applyFill="1"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5" fillId="0" borderId="0" xfId="0" applyFont="1" applyBorder="1" applyAlignment="1">
      <alignment horizontal="left"/>
    </xf>
    <xf numFmtId="0" fontId="0" fillId="0" borderId="0" xfId="0" applyAlignment="1">
      <alignment horizontal="right"/>
    </xf>
    <xf numFmtId="0" fontId="0" fillId="0" borderId="0" xfId="0" applyBorder="1" applyAlignment="1">
      <alignment horizontal="right" vertical="top" wrapText="1"/>
    </xf>
    <xf numFmtId="0" fontId="1" fillId="0" borderId="0" xfId="0" applyFont="1" applyAlignment="1">
      <alignment horizontal="left" vertical="top"/>
    </xf>
    <xf numFmtId="0" fontId="0" fillId="0" borderId="0" xfId="0" applyAlignment="1">
      <alignment horizontal="left" vertical="top"/>
    </xf>
    <xf numFmtId="3" fontId="1" fillId="0" borderId="0" xfId="0" applyNumberFormat="1" applyFont="1"/>
    <xf numFmtId="0" fontId="0" fillId="0" borderId="0" xfId="0" applyAlignment="1">
      <alignment horizontal="left" vertical="top" wrapText="1"/>
    </xf>
    <xf numFmtId="0" fontId="7" fillId="0" borderId="0" xfId="0" applyFont="1"/>
    <xf numFmtId="0" fontId="6" fillId="0" borderId="0" xfId="0" applyFont="1" applyAlignment="1">
      <alignment horizontal="left" vertical="top"/>
    </xf>
    <xf numFmtId="0" fontId="0" fillId="7" borderId="0" xfId="0" applyFill="1"/>
    <xf numFmtId="0" fontId="0" fillId="8" borderId="0" xfId="0" applyFill="1"/>
    <xf numFmtId="0" fontId="0" fillId="9" borderId="0" xfId="0" applyFill="1"/>
    <xf numFmtId="1" fontId="0" fillId="0" borderId="2" xfId="0" applyNumberFormat="1" applyBorder="1" applyAlignment="1">
      <alignment horizontal="center"/>
    </xf>
    <xf numFmtId="0" fontId="1" fillId="3" borderId="2" xfId="0" applyFont="1" applyFill="1" applyBorder="1" applyAlignment="1">
      <alignment wrapText="1"/>
    </xf>
    <xf numFmtId="0" fontId="1" fillId="3" borderId="2" xfId="0" applyFont="1" applyFill="1" applyBorder="1" applyAlignment="1">
      <alignment horizontal="center" vertical="center" wrapText="1"/>
    </xf>
    <xf numFmtId="3" fontId="0" fillId="0" borderId="2" xfId="0" applyNumberFormat="1" applyBorder="1" applyAlignment="1">
      <alignment horizontal="center"/>
    </xf>
    <xf numFmtId="164" fontId="0" fillId="0" borderId="2" xfId="0" applyNumberFormat="1" applyBorder="1" applyAlignment="1">
      <alignment horizontal="center"/>
    </xf>
    <xf numFmtId="0" fontId="0" fillId="0" borderId="2" xfId="0" applyBorder="1" applyAlignment="1">
      <alignment wrapText="1"/>
    </xf>
    <xf numFmtId="0" fontId="1" fillId="0" borderId="2" xfId="0" applyFont="1" applyBorder="1"/>
    <xf numFmtId="0" fontId="0" fillId="0" borderId="2" xfId="0" applyBorder="1" applyAlignment="1">
      <alignment horizontal="center" vertical="center"/>
    </xf>
    <xf numFmtId="0" fontId="0" fillId="0" borderId="2" xfId="0" applyBorder="1" applyAlignment="1">
      <alignment horizontal="center"/>
    </xf>
    <xf numFmtId="0" fontId="1" fillId="10" borderId="2" xfId="0" applyFont="1" applyFill="1" applyBorder="1" applyAlignment="1">
      <alignment horizontal="center" vertical="center" wrapText="1"/>
    </xf>
    <xf numFmtId="0" fontId="1" fillId="11" borderId="0" xfId="0" applyFont="1" applyFill="1"/>
    <xf numFmtId="0" fontId="0" fillId="11" borderId="0" xfId="0" applyFill="1"/>
    <xf numFmtId="0" fontId="1" fillId="12" borderId="0" xfId="0" applyFont="1" applyFill="1" applyAlignment="1">
      <alignment vertical="top"/>
    </xf>
    <xf numFmtId="0" fontId="0" fillId="12" borderId="0" xfId="0" applyFill="1" applyAlignment="1">
      <alignment horizontal="left" vertical="top" wrapText="1"/>
    </xf>
    <xf numFmtId="0" fontId="0" fillId="12" borderId="0" xfId="0" applyFill="1"/>
    <xf numFmtId="0" fontId="1" fillId="0" borderId="0" xfId="0" applyFont="1" applyAlignment="1">
      <alignment vertical="top" wrapText="1"/>
    </xf>
    <xf numFmtId="0" fontId="0" fillId="0" borderId="0" xfId="0" applyFont="1" applyBorder="1"/>
    <xf numFmtId="0" fontId="0" fillId="0" borderId="0" xfId="0" applyAlignment="1">
      <alignment horizontal="left" vertical="top" wrapText="1"/>
    </xf>
    <xf numFmtId="0" fontId="5" fillId="0" borderId="7" xfId="0" applyFont="1" applyBorder="1" applyAlignment="1">
      <alignment horizontal="left" vertical="center" wrapText="1"/>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vertical="top"/>
    </xf>
    <xf numFmtId="0" fontId="0" fillId="0" borderId="0" xfId="0" applyAlignment="1">
      <alignment horizontal="right" vertical="top"/>
    </xf>
    <xf numFmtId="0" fontId="6" fillId="0" borderId="0" xfId="0" applyFont="1"/>
    <xf numFmtId="0" fontId="10" fillId="13" borderId="0" xfId="0" applyFont="1" applyFill="1" applyBorder="1" applyAlignment="1">
      <alignment vertical="center" wrapText="1"/>
    </xf>
    <xf numFmtId="0" fontId="1" fillId="14" borderId="0" xfId="0" applyFont="1" applyFill="1"/>
    <xf numFmtId="0" fontId="0" fillId="14" borderId="0" xfId="0" applyFill="1"/>
    <xf numFmtId="0" fontId="0" fillId="14" borderId="0" xfId="0" applyFill="1" applyAlignment="1">
      <alignment wrapText="1"/>
    </xf>
    <xf numFmtId="0" fontId="1" fillId="15" borderId="0" xfId="0" applyFont="1" applyFill="1"/>
    <xf numFmtId="0" fontId="0" fillId="15" borderId="0" xfId="0" applyFill="1"/>
    <xf numFmtId="0" fontId="10" fillId="15" borderId="0" xfId="0" applyFont="1" applyFill="1" applyBorder="1" applyAlignment="1">
      <alignment horizontal="left" vertical="top" wrapText="1"/>
    </xf>
    <xf numFmtId="0" fontId="0" fillId="15" borderId="0" xfId="0" applyFill="1" applyAlignment="1">
      <alignment horizontal="left" vertical="top"/>
    </xf>
    <xf numFmtId="164" fontId="1" fillId="3" borderId="0" xfId="0" applyNumberFormat="1" applyFont="1" applyFill="1" applyAlignment="1">
      <alignment horizontal="right"/>
    </xf>
    <xf numFmtId="0" fontId="1" fillId="0" borderId="0" xfId="0" applyFont="1" applyAlignment="1">
      <alignment vertical="top"/>
    </xf>
    <xf numFmtId="0" fontId="5" fillId="0" borderId="0" xfId="0" applyFont="1" applyBorder="1" applyAlignment="1">
      <alignment horizontal="left" vertical="top"/>
    </xf>
    <xf numFmtId="0" fontId="5" fillId="0" borderId="0" xfId="0" applyFont="1" applyAlignment="1">
      <alignment horizontal="left" vertical="top"/>
    </xf>
    <xf numFmtId="0" fontId="5" fillId="0" borderId="1" xfId="0" applyFont="1" applyBorder="1" applyAlignment="1">
      <alignment horizontal="left" vertical="top"/>
    </xf>
    <xf numFmtId="0" fontId="1" fillId="0" borderId="0" xfId="0" applyFont="1" applyAlignment="1">
      <alignment horizontal="center"/>
    </xf>
    <xf numFmtId="0" fontId="12" fillId="6" borderId="0" xfId="1" applyFont="1" applyFill="1" applyAlignment="1">
      <alignment horizontal="center" vertical="center" wrapText="1"/>
    </xf>
    <xf numFmtId="0" fontId="1" fillId="0" borderId="0" xfId="0" applyFont="1" applyAlignment="1">
      <alignment horizontal="center" vertical="center" wrapText="1"/>
    </xf>
    <xf numFmtId="0" fontId="6" fillId="3" borderId="0" xfId="0" applyFont="1" applyFill="1" applyAlignment="1">
      <alignment horizontal="left"/>
    </xf>
    <xf numFmtId="0" fontId="0" fillId="0" borderId="0" xfId="0" applyAlignment="1">
      <alignment horizontal="left" vertical="top" wrapText="1"/>
    </xf>
    <xf numFmtId="0" fontId="1" fillId="0" borderId="3" xfId="0" applyFont="1" applyBorder="1" applyAlignment="1">
      <alignment vertical="top"/>
    </xf>
    <xf numFmtId="0" fontId="5" fillId="0" borderId="7" xfId="0" applyFont="1" applyBorder="1" applyAlignment="1">
      <alignment horizontal="left" vertical="center" wrapText="1"/>
    </xf>
    <xf numFmtId="0" fontId="0" fillId="0" borderId="0" xfId="0" applyFont="1" applyAlignment="1">
      <alignment horizontal="left" vertical="center" wrapText="1"/>
    </xf>
    <xf numFmtId="0" fontId="1" fillId="12" borderId="0" xfId="0" applyFont="1" applyFill="1" applyAlignment="1">
      <alignment horizontal="center"/>
    </xf>
    <xf numFmtId="0" fontId="0" fillId="0" borderId="0" xfId="0" applyFont="1" applyAlignment="1">
      <alignment horizontal="left" vertical="top" wrapText="1"/>
    </xf>
    <xf numFmtId="0" fontId="0" fillId="14" borderId="0" xfId="0" applyFill="1" applyAlignment="1">
      <alignment horizontal="left" vertical="top" wrapText="1"/>
    </xf>
    <xf numFmtId="0" fontId="5" fillId="0" borderId="7" xfId="0" applyFont="1" applyBorder="1" applyAlignment="1">
      <alignment horizontal="left" vertical="center" wrapText="1"/>
    </xf>
    <xf numFmtId="0" fontId="5" fillId="0" borderId="5" xfId="0" applyFont="1" applyBorder="1" applyAlignment="1">
      <alignment vertical="top" wrapText="1"/>
    </xf>
    <xf numFmtId="0" fontId="5" fillId="0" borderId="7" xfId="0" applyFont="1" applyBorder="1" applyAlignment="1">
      <alignment vertical="top" wrapText="1"/>
    </xf>
    <xf numFmtId="0" fontId="5" fillId="0" borderId="9" xfId="0" applyFont="1" applyBorder="1" applyAlignment="1">
      <alignment vertical="top" wrapText="1"/>
    </xf>
    <xf numFmtId="0" fontId="5" fillId="0" borderId="5" xfId="0" applyFont="1" applyBorder="1" applyAlignment="1">
      <alignment horizontal="left" vertical="top" wrapText="1"/>
    </xf>
    <xf numFmtId="0" fontId="0" fillId="0" borderId="7" xfId="0" applyBorder="1" applyAlignment="1">
      <alignment horizontal="left" vertical="top" wrapText="1"/>
    </xf>
    <xf numFmtId="0" fontId="0" fillId="0" borderId="9" xfId="0" applyBorder="1" applyAlignment="1">
      <alignment horizontal="left" vertical="top" wrapText="1"/>
    </xf>
    <xf numFmtId="0" fontId="5" fillId="0" borderId="9" xfId="0" applyFont="1" applyBorder="1" applyAlignment="1">
      <alignment horizontal="left" vertical="top" wrapText="1"/>
    </xf>
    <xf numFmtId="0" fontId="5" fillId="0" borderId="5" xfId="0" applyFont="1" applyBorder="1" applyAlignment="1">
      <alignment wrapText="1"/>
    </xf>
    <xf numFmtId="0" fontId="5" fillId="0" borderId="7" xfId="0" applyFont="1" applyBorder="1" applyAlignment="1">
      <alignment wrapText="1"/>
    </xf>
    <xf numFmtId="0" fontId="5" fillId="0" borderId="9" xfId="0" applyFont="1" applyBorder="1" applyAlignment="1">
      <alignment wrapText="1"/>
    </xf>
    <xf numFmtId="0" fontId="1" fillId="0" borderId="4" xfId="0" applyFont="1" applyBorder="1" applyAlignment="1">
      <alignment horizontal="left" vertical="top" wrapText="1"/>
    </xf>
    <xf numFmtId="0" fontId="9" fillId="0" borderId="5" xfId="0" applyFont="1" applyBorder="1" applyAlignment="1">
      <alignment horizontal="left" vertical="top" wrapText="1"/>
    </xf>
    <xf numFmtId="0" fontId="8" fillId="0" borderId="7" xfId="0" applyFont="1" applyBorder="1" applyAlignment="1">
      <alignment horizontal="left" vertical="top" wrapText="1"/>
    </xf>
    <xf numFmtId="0" fontId="8"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xf>
    <xf numFmtId="0" fontId="0" fillId="4" borderId="0" xfId="0" applyFill="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solidFill>
              <a:schemeClr val="accent1"/>
            </a:solidFill>
            <a:ln>
              <a:noFill/>
            </a:ln>
            <a:effectLst/>
          </c:spPr>
          <c:invertIfNegative val="0"/>
          <c:cat>
            <c:strRef>
              <c:f>'Stats and distribution'!$B$3:$B$13</c:f>
              <c:strCache>
                <c:ptCount val="11"/>
                <c:pt idx="0">
                  <c:v>Admin Error</c:v>
                </c:pt>
                <c:pt idx="1">
                  <c:v>Collision</c:v>
                </c:pt>
                <c:pt idx="2">
                  <c:v>Collision precursor</c:v>
                </c:pt>
                <c:pt idx="3">
                  <c:v>Derailment</c:v>
                </c:pt>
                <c:pt idx="4">
                  <c:v>Derailment precursor</c:v>
                </c:pt>
                <c:pt idx="5">
                  <c:v>Loss of containment</c:v>
                </c:pt>
                <c:pt idx="6">
                  <c:v>Loss of containment
precursor</c:v>
                </c:pt>
                <c:pt idx="7">
                  <c:v>Fire</c:v>
                </c:pt>
                <c:pt idx="8">
                  <c:v>No Fault found</c:v>
                </c:pt>
                <c:pt idx="9">
                  <c:v>Not a DG incident</c:v>
                </c:pt>
                <c:pt idx="10">
                  <c:v>Insufficient details</c:v>
                </c:pt>
              </c:strCache>
            </c:strRef>
          </c:cat>
          <c:val>
            <c:numRef>
              <c:f>'Stats and distribution'!$C$3:$C$13</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F81B-4D00-AA4B-785C94322323}"/>
            </c:ext>
          </c:extLst>
        </c:ser>
        <c:dLbls>
          <c:showLegendKey val="0"/>
          <c:showVal val="0"/>
          <c:showCatName val="0"/>
          <c:showSerName val="0"/>
          <c:showPercent val="0"/>
          <c:showBubbleSize val="0"/>
        </c:dLbls>
        <c:gapWidth val="150"/>
        <c:overlap val="100"/>
        <c:axId val="647459072"/>
        <c:axId val="646161600"/>
      </c:barChart>
      <c:catAx>
        <c:axId val="647459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6161600"/>
        <c:crosses val="autoZero"/>
        <c:auto val="1"/>
        <c:lblAlgn val="ctr"/>
        <c:lblOffset val="100"/>
        <c:noMultiLvlLbl val="0"/>
      </c:catAx>
      <c:valAx>
        <c:axId val="646161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Number of incidents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7459072"/>
        <c:crosses val="autoZero"/>
        <c:crossBetween val="between"/>
      </c:valAx>
      <c:spPr>
        <a:solidFill>
          <a:schemeClr val="bg1"/>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lumMod val="9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050057971691139E-2"/>
          <c:y val="3.9586139240631868E-2"/>
          <c:w val="0.87931806209788166"/>
          <c:h val="0.78577182912049359"/>
        </c:manualLayout>
      </c:layout>
      <c:barChart>
        <c:barDir val="col"/>
        <c:grouping val="stacked"/>
        <c:varyColors val="0"/>
        <c:ser>
          <c:idx val="1"/>
          <c:order val="0"/>
          <c:tx>
            <c:strRef>
              <c:f>'Stats and distribution'!$C$19</c:f>
              <c:strCache>
                <c:ptCount val="1"/>
                <c:pt idx="0">
                  <c:v>Admin error</c:v>
                </c:pt>
              </c:strCache>
            </c:strRef>
          </c:tx>
          <c:spPr>
            <a:solidFill>
              <a:schemeClr val="bg1">
                <a:lumMod val="50000"/>
              </a:schemeClr>
            </a:solidFill>
            <a:ln>
              <a:noFill/>
            </a:ln>
            <a:effectLst/>
          </c:spPr>
          <c:invertIfNegative val="0"/>
          <c:val>
            <c:numRef>
              <c:f>'Stats and distribution'!$C$21:$C$50</c:f>
              <c:numCache>
                <c:formatCode>General</c:formatCode>
                <c:ptCount val="30"/>
                <c:pt idx="0">
                  <c:v>12</c:v>
                </c:pt>
                <c:pt idx="1">
                  <c:v>0</c:v>
                </c:pt>
                <c:pt idx="2">
                  <c:v>0</c:v>
                </c:pt>
                <c:pt idx="3">
                  <c:v>0</c:v>
                </c:pt>
                <c:pt idx="4">
                  <c:v>8</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235B-4B03-868D-A5216AB52516}"/>
            </c:ext>
          </c:extLst>
        </c:ser>
        <c:ser>
          <c:idx val="2"/>
          <c:order val="1"/>
          <c:tx>
            <c:strRef>
              <c:f>'Stats and distribution'!$D$19</c:f>
              <c:strCache>
                <c:ptCount val="1"/>
                <c:pt idx="0">
                  <c:v>Collision</c:v>
                </c:pt>
              </c:strCache>
            </c:strRef>
          </c:tx>
          <c:spPr>
            <a:solidFill>
              <a:schemeClr val="accent6">
                <a:lumMod val="75000"/>
              </a:schemeClr>
            </a:solidFill>
            <a:ln>
              <a:noFill/>
            </a:ln>
            <a:effectLst/>
          </c:spPr>
          <c:invertIfNegative val="0"/>
          <c:val>
            <c:numRef>
              <c:f>'Stats and distribution'!$D$21:$D$50</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235B-4B03-868D-A5216AB52516}"/>
            </c:ext>
          </c:extLst>
        </c:ser>
        <c:ser>
          <c:idx val="3"/>
          <c:order val="2"/>
          <c:tx>
            <c:strRef>
              <c:f>'Stats and distribution'!$E$19</c:f>
              <c:strCache>
                <c:ptCount val="1"/>
                <c:pt idx="0">
                  <c:v>Collision precursor</c:v>
                </c:pt>
              </c:strCache>
            </c:strRef>
          </c:tx>
          <c:spPr>
            <a:solidFill>
              <a:schemeClr val="accent6">
                <a:lumMod val="40000"/>
                <a:lumOff val="60000"/>
              </a:schemeClr>
            </a:solidFill>
            <a:ln>
              <a:noFill/>
            </a:ln>
            <a:effectLst/>
          </c:spPr>
          <c:invertIfNegative val="0"/>
          <c:val>
            <c:numRef>
              <c:f>'Stats and distribution'!$E$21:$E$50</c:f>
              <c:numCache>
                <c:formatCode>General</c:formatCode>
                <c:ptCount val="30"/>
                <c:pt idx="0">
                  <c:v>1</c:v>
                </c:pt>
                <c:pt idx="1">
                  <c:v>0</c:v>
                </c:pt>
                <c:pt idx="2">
                  <c:v>0</c:v>
                </c:pt>
                <c:pt idx="3">
                  <c:v>0</c:v>
                </c:pt>
                <c:pt idx="4">
                  <c:v>0</c:v>
                </c:pt>
                <c:pt idx="5">
                  <c:v>0</c:v>
                </c:pt>
                <c:pt idx="6">
                  <c:v>0</c:v>
                </c:pt>
                <c:pt idx="7">
                  <c:v>0</c:v>
                </c:pt>
                <c:pt idx="8">
                  <c:v>0</c:v>
                </c:pt>
                <c:pt idx="9">
                  <c:v>0</c:v>
                </c:pt>
                <c:pt idx="10">
                  <c:v>1</c:v>
                </c:pt>
                <c:pt idx="11">
                  <c:v>4</c:v>
                </c:pt>
                <c:pt idx="12">
                  <c:v>0</c:v>
                </c:pt>
                <c:pt idx="13">
                  <c:v>0</c:v>
                </c:pt>
                <c:pt idx="14">
                  <c:v>1</c:v>
                </c:pt>
                <c:pt idx="15">
                  <c:v>0</c:v>
                </c:pt>
                <c:pt idx="16">
                  <c:v>0</c:v>
                </c:pt>
                <c:pt idx="17">
                  <c:v>1</c:v>
                </c:pt>
                <c:pt idx="18">
                  <c:v>0</c:v>
                </c:pt>
                <c:pt idx="19">
                  <c:v>2</c:v>
                </c:pt>
                <c:pt idx="20">
                  <c:v>1</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235B-4B03-868D-A5216AB52516}"/>
            </c:ext>
          </c:extLst>
        </c:ser>
        <c:ser>
          <c:idx val="4"/>
          <c:order val="3"/>
          <c:tx>
            <c:strRef>
              <c:f>'Stats and distribution'!$F$19</c:f>
              <c:strCache>
                <c:ptCount val="1"/>
                <c:pt idx="0">
                  <c:v>Derailment</c:v>
                </c:pt>
              </c:strCache>
            </c:strRef>
          </c:tx>
          <c:spPr>
            <a:solidFill>
              <a:schemeClr val="accent1">
                <a:lumMod val="75000"/>
              </a:schemeClr>
            </a:solidFill>
            <a:ln>
              <a:noFill/>
            </a:ln>
            <a:effectLst/>
          </c:spPr>
          <c:invertIfNegative val="0"/>
          <c:val>
            <c:numRef>
              <c:f>'Stats and distribution'!$F$21:$F$50</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2</c:v>
                </c:pt>
                <c:pt idx="16">
                  <c:v>1</c:v>
                </c:pt>
                <c:pt idx="17">
                  <c:v>0</c:v>
                </c:pt>
                <c:pt idx="18">
                  <c:v>0</c:v>
                </c:pt>
                <c:pt idx="19">
                  <c:v>1</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235B-4B03-868D-A5216AB52516}"/>
            </c:ext>
          </c:extLst>
        </c:ser>
        <c:ser>
          <c:idx val="5"/>
          <c:order val="4"/>
          <c:tx>
            <c:strRef>
              <c:f>'Stats and distribution'!$G$19</c:f>
              <c:strCache>
                <c:ptCount val="1"/>
                <c:pt idx="0">
                  <c:v>Derailment precursor</c:v>
                </c:pt>
              </c:strCache>
            </c:strRef>
          </c:tx>
          <c:spPr>
            <a:solidFill>
              <a:schemeClr val="accent1">
                <a:lumMod val="40000"/>
                <a:lumOff val="60000"/>
              </a:schemeClr>
            </a:solidFill>
            <a:ln>
              <a:noFill/>
            </a:ln>
            <a:effectLst/>
          </c:spPr>
          <c:invertIfNegative val="0"/>
          <c:val>
            <c:numRef>
              <c:f>'Stats and distribution'!$G$21:$G$50</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235B-4B03-868D-A5216AB52516}"/>
            </c:ext>
          </c:extLst>
        </c:ser>
        <c:ser>
          <c:idx val="6"/>
          <c:order val="5"/>
          <c:tx>
            <c:strRef>
              <c:f>'Stats and distribution'!$H$19</c:f>
              <c:strCache>
                <c:ptCount val="1"/>
                <c:pt idx="0">
                  <c:v>Loss of containment</c:v>
                </c:pt>
              </c:strCache>
            </c:strRef>
          </c:tx>
          <c:spPr>
            <a:solidFill>
              <a:schemeClr val="accent2">
                <a:lumMod val="40000"/>
                <a:lumOff val="60000"/>
              </a:schemeClr>
            </a:solidFill>
            <a:ln>
              <a:noFill/>
            </a:ln>
            <a:effectLst/>
          </c:spPr>
          <c:invertIfNegative val="0"/>
          <c:val>
            <c:numRef>
              <c:f>'Stats and distribution'!$H$21:$H$50</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235B-4B03-868D-A5216AB52516}"/>
            </c:ext>
          </c:extLst>
        </c:ser>
        <c:ser>
          <c:idx val="7"/>
          <c:order val="6"/>
          <c:tx>
            <c:strRef>
              <c:f>'Stats and distribution'!$I$19</c:f>
              <c:strCache>
                <c:ptCount val="1"/>
                <c:pt idx="0">
                  <c:v>Loss of containment precursor</c:v>
                </c:pt>
              </c:strCache>
            </c:strRef>
          </c:tx>
          <c:spPr>
            <a:solidFill>
              <a:schemeClr val="accent2">
                <a:lumMod val="75000"/>
              </a:schemeClr>
            </a:solidFill>
            <a:ln>
              <a:noFill/>
            </a:ln>
            <a:effectLst/>
          </c:spPr>
          <c:invertIfNegative val="0"/>
          <c:val>
            <c:numRef>
              <c:f>'Stats and distribution'!$I$21:$I$50</c:f>
              <c:numCache>
                <c:formatCode>General</c:formatCode>
                <c:ptCount val="30"/>
                <c:pt idx="0">
                  <c:v>1</c:v>
                </c:pt>
                <c:pt idx="1">
                  <c:v>0</c:v>
                </c:pt>
                <c:pt idx="2">
                  <c:v>0</c:v>
                </c:pt>
                <c:pt idx="3">
                  <c:v>0</c:v>
                </c:pt>
                <c:pt idx="4">
                  <c:v>0</c:v>
                </c:pt>
                <c:pt idx="5">
                  <c:v>0</c:v>
                </c:pt>
                <c:pt idx="6">
                  <c:v>0</c:v>
                </c:pt>
                <c:pt idx="7">
                  <c:v>0</c:v>
                </c:pt>
                <c:pt idx="8">
                  <c:v>0</c:v>
                </c:pt>
                <c:pt idx="9">
                  <c:v>0</c:v>
                </c:pt>
                <c:pt idx="10">
                  <c:v>0</c:v>
                </c:pt>
                <c:pt idx="11">
                  <c:v>2</c:v>
                </c:pt>
                <c:pt idx="12">
                  <c:v>1</c:v>
                </c:pt>
                <c:pt idx="13">
                  <c:v>0</c:v>
                </c:pt>
                <c:pt idx="14">
                  <c:v>1</c:v>
                </c:pt>
                <c:pt idx="15">
                  <c:v>1</c:v>
                </c:pt>
                <c:pt idx="16">
                  <c:v>0</c:v>
                </c:pt>
                <c:pt idx="17">
                  <c:v>0</c:v>
                </c:pt>
                <c:pt idx="18">
                  <c:v>1</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7-235B-4B03-868D-A5216AB52516}"/>
            </c:ext>
          </c:extLst>
        </c:ser>
        <c:ser>
          <c:idx val="8"/>
          <c:order val="7"/>
          <c:tx>
            <c:strRef>
              <c:f>'Stats and distribution'!$J$19</c:f>
              <c:strCache>
                <c:ptCount val="1"/>
                <c:pt idx="0">
                  <c:v>Fire</c:v>
                </c:pt>
              </c:strCache>
            </c:strRef>
          </c:tx>
          <c:spPr>
            <a:solidFill>
              <a:srgbClr val="FF0000"/>
            </a:solidFill>
            <a:ln>
              <a:noFill/>
            </a:ln>
            <a:effectLst/>
          </c:spPr>
          <c:invertIfNegative val="0"/>
          <c:val>
            <c:numRef>
              <c:f>'Stats and distribution'!$J$21:$J$50</c:f>
              <c:numCache>
                <c:formatCode>General</c:formatCode>
                <c:ptCount val="30"/>
                <c:pt idx="0">
                  <c:v>0</c:v>
                </c:pt>
                <c:pt idx="1">
                  <c:v>0</c:v>
                </c:pt>
                <c:pt idx="2">
                  <c:v>1</c:v>
                </c:pt>
                <c:pt idx="3">
                  <c:v>2</c:v>
                </c:pt>
                <c:pt idx="4">
                  <c:v>1</c:v>
                </c:pt>
                <c:pt idx="5">
                  <c:v>0</c:v>
                </c:pt>
                <c:pt idx="6">
                  <c:v>5</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8-235B-4B03-868D-A5216AB52516}"/>
            </c:ext>
          </c:extLst>
        </c:ser>
        <c:dLbls>
          <c:showLegendKey val="0"/>
          <c:showVal val="0"/>
          <c:showCatName val="0"/>
          <c:showSerName val="0"/>
          <c:showPercent val="0"/>
          <c:showBubbleSize val="0"/>
        </c:dLbls>
        <c:gapWidth val="55"/>
        <c:overlap val="100"/>
        <c:axId val="818488568"/>
        <c:axId val="818482992"/>
      </c:barChart>
      <c:catAx>
        <c:axId val="818488568"/>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Risk ranking score</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18482992"/>
        <c:crosses val="autoZero"/>
        <c:auto val="1"/>
        <c:lblAlgn val="ctr"/>
        <c:lblOffset val="100"/>
        <c:noMultiLvlLbl val="0"/>
      </c:catAx>
      <c:valAx>
        <c:axId val="818482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Number of events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18488568"/>
        <c:crosses val="autoZero"/>
        <c:crossBetween val="between"/>
      </c:valAx>
      <c:spPr>
        <a:solidFill>
          <a:schemeClr val="bg1"/>
        </a:solidFill>
        <a:ln>
          <a:noFill/>
        </a:ln>
        <a:effectLst/>
      </c:spPr>
    </c:plotArea>
    <c:legend>
      <c:legendPos val="l"/>
      <c:layout>
        <c:manualLayout>
          <c:xMode val="edge"/>
          <c:yMode val="edge"/>
          <c:x val="0.62517064179584703"/>
          <c:y val="7.7146216236664469E-2"/>
          <c:w val="0.27486548079394896"/>
          <c:h val="0.48583329106466888"/>
        </c:manualLayout>
      </c:layout>
      <c:overlay val="0"/>
      <c:spPr>
        <a:solidFill>
          <a:schemeClr val="bg1"/>
        </a:solidFill>
        <a:ln>
          <a:solidFill>
            <a:schemeClr val="bg2">
              <a:lumMod val="75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lumMod val="9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5905938586944"/>
          <c:y val="4.6188321857936566E-2"/>
          <c:w val="0.87399270213174574"/>
          <c:h val="0.5585038864792321"/>
        </c:manualLayout>
      </c:layout>
      <c:barChart>
        <c:barDir val="col"/>
        <c:grouping val="stacked"/>
        <c:varyColors val="0"/>
        <c:ser>
          <c:idx val="0"/>
          <c:order val="0"/>
          <c:spPr>
            <a:solidFill>
              <a:schemeClr val="accent1"/>
            </a:solidFill>
            <a:ln>
              <a:noFill/>
            </a:ln>
            <a:effectLst/>
          </c:spPr>
          <c:invertIfNegative val="0"/>
          <c:cat>
            <c:strRef>
              <c:f>'Stats and distribution'!$C$19:$J$19</c:f>
              <c:strCache>
                <c:ptCount val="8"/>
                <c:pt idx="0">
                  <c:v>Admin error</c:v>
                </c:pt>
                <c:pt idx="1">
                  <c:v>Collision</c:v>
                </c:pt>
                <c:pt idx="2">
                  <c:v>Collision precursor</c:v>
                </c:pt>
                <c:pt idx="3">
                  <c:v>Derailment</c:v>
                </c:pt>
                <c:pt idx="4">
                  <c:v>Derailment precursor</c:v>
                </c:pt>
                <c:pt idx="5">
                  <c:v>Loss of containment</c:v>
                </c:pt>
                <c:pt idx="6">
                  <c:v>Loss of containment precursor</c:v>
                </c:pt>
                <c:pt idx="7">
                  <c:v>Fire</c:v>
                </c:pt>
              </c:strCache>
            </c:strRef>
          </c:cat>
          <c:val>
            <c:numRef>
              <c:f>'Stats and distribution'!$C$54:$J$54</c:f>
              <c:numCache>
                <c:formatCode>0</c:formatCode>
                <c:ptCount val="8"/>
                <c:pt idx="0">
                  <c:v>1.6</c:v>
                </c:pt>
                <c:pt idx="1">
                  <c:v>19</c:v>
                </c:pt>
                <c:pt idx="2">
                  <c:v>13</c:v>
                </c:pt>
                <c:pt idx="3">
                  <c:v>15.8</c:v>
                </c:pt>
                <c:pt idx="4">
                  <c:v>0</c:v>
                </c:pt>
                <c:pt idx="5">
                  <c:v>16</c:v>
                </c:pt>
                <c:pt idx="6">
                  <c:v>11.571428571428571</c:v>
                </c:pt>
                <c:pt idx="7">
                  <c:v>5</c:v>
                </c:pt>
              </c:numCache>
            </c:numRef>
          </c:val>
          <c:extLst>
            <c:ext xmlns:c16="http://schemas.microsoft.com/office/drawing/2014/chart" uri="{C3380CC4-5D6E-409C-BE32-E72D297353CC}">
              <c16:uniqueId val="{00000000-7389-4E9B-A198-F97C062DE246}"/>
            </c:ext>
          </c:extLst>
        </c:ser>
        <c:dLbls>
          <c:showLegendKey val="0"/>
          <c:showVal val="0"/>
          <c:showCatName val="0"/>
          <c:showSerName val="0"/>
          <c:showPercent val="0"/>
          <c:showBubbleSize val="0"/>
        </c:dLbls>
        <c:gapWidth val="150"/>
        <c:overlap val="100"/>
        <c:axId val="442934568"/>
        <c:axId val="454420400"/>
      </c:barChart>
      <c:catAx>
        <c:axId val="442934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lang="en-US" sz="1000" b="0" i="0" u="none" strike="noStrike" kern="1200" baseline="0">
                <a:solidFill>
                  <a:schemeClr val="tx1"/>
                </a:solidFill>
                <a:latin typeface="+mn-lt"/>
                <a:ea typeface="+mn-ea"/>
                <a:cs typeface="+mn-cs"/>
              </a:defRPr>
            </a:pPr>
            <a:endParaRPr lang="en-US"/>
          </a:p>
        </c:txPr>
        <c:crossAx val="454420400"/>
        <c:crosses val="autoZero"/>
        <c:auto val="0"/>
        <c:lblAlgn val="ctr"/>
        <c:lblOffset val="100"/>
        <c:noMultiLvlLbl val="0"/>
      </c:catAx>
      <c:valAx>
        <c:axId val="4544204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r>
                  <a:rPr lang="en-GB"/>
                  <a:t>Average risk</a:t>
                </a:r>
                <a:r>
                  <a:rPr lang="en-GB" baseline="0"/>
                  <a:t> ranking</a:t>
                </a:r>
                <a:endParaRPr lang="en-GB"/>
              </a:p>
            </c:rich>
          </c:tx>
          <c:overlay val="0"/>
          <c:spPr>
            <a:noFill/>
            <a:ln>
              <a:noFill/>
            </a:ln>
            <a:effectLst/>
          </c:spPr>
          <c:txPr>
            <a:bodyPr rot="-54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crossAx val="442934568"/>
        <c:crosses val="autoZero"/>
        <c:crossBetween val="between"/>
        <c:majorUnit val="4"/>
      </c:valAx>
      <c:spPr>
        <a:solidFill>
          <a:schemeClr val="bg1"/>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lang="en-US" sz="10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Style="combo" dx="22" fmlaLink="$F$4" fmlaRange="$C$5:$C$7" noThreeD="1" sel="2" val="0"/>
</file>

<file path=xl/ctrlProps/ctrlProp2.xml><?xml version="1.0" encoding="utf-8"?>
<formControlPr xmlns="http://schemas.microsoft.com/office/spreadsheetml/2009/9/main" objectType="Drop" dropStyle="combo" dx="22" fmlaLink="$F$9" fmlaRange="$C$10:$C$11" noThreeD="1" sel="1" val="0"/>
</file>

<file path=xl/ctrlProps/ctrlProp3.xml><?xml version="1.0" encoding="utf-8"?>
<formControlPr xmlns="http://schemas.microsoft.com/office/spreadsheetml/2009/9/main" objectType="Drop" dropStyle="combo" dx="22" fmlaLink="$F$13" fmlaRange="$C$14:$C$15" noThreeD="1" sel="2" val="0"/>
</file>

<file path=xl/ctrlProps/ctrlProp4.xml><?xml version="1.0" encoding="utf-8"?>
<formControlPr xmlns="http://schemas.microsoft.com/office/spreadsheetml/2009/9/main" objectType="Drop" dropStyle="combo" dx="22" fmlaLink="$F$17" fmlaRange="$C$18:$C$19" noThreeD="1" sel="1" val="0"/>
</file>

<file path=xl/ctrlProps/ctrlProp5.xml><?xml version="1.0" encoding="utf-8"?>
<formControlPr xmlns="http://schemas.microsoft.com/office/spreadsheetml/2009/9/main" objectType="Drop" dropStyle="combo" dx="22" fmlaLink="$F$21" fmlaRange="$C$22:$C$23" noThreeD="1" sel="1" val="0"/>
</file>

<file path=xl/ctrlProps/ctrlProp6.xml><?xml version="1.0" encoding="utf-8"?>
<formControlPr xmlns="http://schemas.microsoft.com/office/spreadsheetml/2009/9/main" objectType="Drop" dropStyle="combo" dx="22" fmlaLink="$F$25" fmlaRange="'input ranges'!$A$2:$A$31" noThreeD="1" sel="21" val="20"/>
</file>

<file path=xl/ctrlProps/ctrlProp7.xml><?xml version="1.0" encoding="utf-8"?>
<formControlPr xmlns="http://schemas.microsoft.com/office/spreadsheetml/2009/9/main" objectType="Drop" dropStyle="combo" dx="22" fmlaLink="$F$51" fmlaRange="'input ranges'!$C$2:$C$3" noThreeD="1" sel="2" val="0"/>
</file>

<file path=xl/ctrlProps/ctrlProp8.xml><?xml version="1.0" encoding="utf-8"?>
<formControlPr xmlns="http://schemas.microsoft.com/office/spreadsheetml/2009/9/main" objectType="Drop" dropStyle="combo" dx="22" fmlaLink="$F$53" fmlaRange="'input ranges'!$C$2:$C$3" noThreeD="1" sel="2" val="0"/>
</file>

<file path=xl/ctrlProps/ctrlProp9.xml><?xml version="1.0" encoding="utf-8"?>
<formControlPr xmlns="http://schemas.microsoft.com/office/spreadsheetml/2009/9/main" objectType="Drop" dropStyle="combo" dx="22" fmlaLink="$F$55" fmlaRange="'input ranges'!$C$2:$C$3" noThreeD="1" sel="2" val="0"/>
</file>

<file path=xl/ctrlProps/ctrlProp10.xml><?xml version="1.0" encoding="utf-8"?>
<formControlPr xmlns="http://schemas.microsoft.com/office/spreadsheetml/2009/9/main" objectType="Drop" dropStyle="combo" dx="22" fmlaLink="$F$57" fmlaRange="'input ranges'!$C$2:$C$3" noThreeD="1" sel="2" val="0"/>
</file>

<file path=xl/ctrlProps/ctrlProp11.xml><?xml version="1.0" encoding="utf-8"?>
<formControlPr xmlns="http://schemas.microsoft.com/office/spreadsheetml/2009/9/main" objectType="Drop" dropStyle="combo" dx="22" fmlaLink="$F$32" fmlaRange="ny_input" noThreeD="1" sel="2" val="0"/>
</file>

<file path=xl/ctrlProps/ctrlProp12.xml><?xml version="1.0" encoding="utf-8"?>
<formControlPr xmlns="http://schemas.microsoft.com/office/spreadsheetml/2009/9/main" objectType="Drop" dropStyle="combo" dx="22" fmlaLink="$F$33" fmlaRange="ny_input" noThreeD="1" sel="2" val="0"/>
</file>

<file path=xl/ctrlProps/ctrlProp13.xml><?xml version="1.0" encoding="utf-8"?>
<formControlPr xmlns="http://schemas.microsoft.com/office/spreadsheetml/2009/9/main" objectType="Drop" dropStyle="combo" dx="22" fmlaLink="$F$34" fmlaRange="ny_input" noThreeD="1" sel="2" val="0"/>
</file>

<file path=xl/ctrlProps/ctrlProp14.xml><?xml version="1.0" encoding="utf-8"?>
<formControlPr xmlns="http://schemas.microsoft.com/office/spreadsheetml/2009/9/main" objectType="Drop" dropStyle="combo" dx="22" fmlaLink="$F$35" fmlaRange="ny_input" noThreeD="1" sel="2" val="0"/>
</file>

<file path=xl/ctrlProps/ctrlProp15.xml><?xml version="1.0" encoding="utf-8"?>
<formControlPr xmlns="http://schemas.microsoft.com/office/spreadsheetml/2009/9/main" objectType="Drop" dropStyle="combo" dx="22" fmlaLink="$F$36" fmlaRange="ny_input" noThreeD="1" sel="1" val="0"/>
</file>

<file path=xl/ctrlProps/ctrlProp16.xml><?xml version="1.0" encoding="utf-8"?>
<formControlPr xmlns="http://schemas.microsoft.com/office/spreadsheetml/2009/9/main" objectType="Drop" dropStyle="combo" dx="22" fmlaLink="$F$37" fmlaRange="ny_input" noThreeD="1" sel="2" val="0"/>
</file>

<file path=xl/ctrlProps/ctrlProp17.xml><?xml version="1.0" encoding="utf-8"?>
<formControlPr xmlns="http://schemas.microsoft.com/office/spreadsheetml/2009/9/main" objectType="Drop" dropStyle="combo" dx="22" fmlaLink="$F$38" fmlaRange="ny_input" noThreeD="1" sel="2" val="0"/>
</file>

<file path=xl/ctrlProps/ctrlProp18.xml><?xml version="1.0" encoding="utf-8"?>
<formControlPr xmlns="http://schemas.microsoft.com/office/spreadsheetml/2009/9/main" objectType="Drop" dropStyle="combo" dx="22" fmlaLink="$F$39" fmlaRange="ny_input" noThreeD="1" sel="2" val="0"/>
</file>

<file path=xl/ctrlProps/ctrlProp19.xml><?xml version="1.0" encoding="utf-8"?>
<formControlPr xmlns="http://schemas.microsoft.com/office/spreadsheetml/2009/9/main" objectType="Drop" dropStyle="combo" dx="22" fmlaLink="$F$40" fmlaRange="ny_input" noThreeD="1" sel="2" val="0"/>
</file>

<file path=xl/ctrlProps/ctrlProp20.xml><?xml version="1.0" encoding="utf-8"?>
<formControlPr xmlns="http://schemas.microsoft.com/office/spreadsheetml/2009/9/main" objectType="Drop" dropStyle="combo" dx="22" fmlaLink="$F$41" fmlaRange="ny_input" noThreeD="1" sel="2" val="0"/>
</file>

<file path=xl/ctrlProps/ctrlProp21.xml><?xml version="1.0" encoding="utf-8"?>
<formControlPr xmlns="http://schemas.microsoft.com/office/spreadsheetml/2009/9/main" objectType="Drop" dropStyle="combo" dx="22" fmlaLink="$F$42" fmlaRange="ny_input" noThreeD="1" sel="2" val="0"/>
</file>

<file path=xl/ctrlProps/ctrlProp22.xml><?xml version="1.0" encoding="utf-8"?>
<formControlPr xmlns="http://schemas.microsoft.com/office/spreadsheetml/2009/9/main" objectType="Drop" dropStyle="combo" dx="22" fmlaLink="$F$44" fmlaRange="ny_input" noThreeD="1" sel="2" val="0"/>
</file>

<file path=xl/ctrlProps/ctrlProp23.xml><?xml version="1.0" encoding="utf-8"?>
<formControlPr xmlns="http://schemas.microsoft.com/office/spreadsheetml/2009/9/main" objectType="Drop" dropStyle="combo" dx="22" fmlaLink="$F$43" fmlaRange="ny_input" noThreeD="1" sel="2" val="0"/>
</file>

<file path=xl/ctrlProps/ctrlProp24.xml><?xml version="1.0" encoding="utf-8"?>
<formControlPr xmlns="http://schemas.microsoft.com/office/spreadsheetml/2009/9/main" objectType="Drop" dropStyle="combo" dx="22" fmlaLink="$F$45" fmlaRange="ny_input" noThreeD="1" sel="2" val="0"/>
</file>

<file path=xl/ctrlProps/ctrlProp25.xml><?xml version="1.0" encoding="utf-8"?>
<formControlPr xmlns="http://schemas.microsoft.com/office/spreadsheetml/2009/9/main" objectType="Drop" dropStyle="combo" dx="22" fmlaLink="$F$46" fmlaRange="ny_input" noThreeD="1" sel="2" val="0"/>
</file>

<file path=xl/ctrlProps/ctrlProp26.xml><?xml version="1.0" encoding="utf-8"?>
<formControlPr xmlns="http://schemas.microsoft.com/office/spreadsheetml/2009/9/main" objectType="Drop" dropStyle="combo" dx="22" fmlaLink="$F$47" fmlaRange="ny_input" noThreeD="1" sel="2" val="0"/>
</file>

<file path=xl/ctrlProps/ctrlProp27.xml><?xml version="1.0" encoding="utf-8"?>
<formControlPr xmlns="http://schemas.microsoft.com/office/spreadsheetml/2009/9/main" objectType="Drop" dropStyle="combo" dx="22" fmlaLink="$F$4" fmlaRange="$C$5:$C$7" noThreeD="1" sel="2" val="0"/>
</file>

<file path=xl/ctrlProps/ctrlProp28.xml><?xml version="1.0" encoding="utf-8"?>
<formControlPr xmlns="http://schemas.microsoft.com/office/spreadsheetml/2009/9/main" objectType="Drop" dropStyle="combo" dx="22" fmlaLink="$F$28" fmlaRange="'input ranges'!$C$2:$C$3" noThreeD="1" sel="2" val="0"/>
</file>

<file path=xl/ctrlProps/ctrlProp29.xml><?xml version="1.0" encoding="utf-8"?>
<formControlPr xmlns="http://schemas.microsoft.com/office/spreadsheetml/2009/9/main" objectType="Drop" dropStyle="combo" dx="22" fmlaLink="$F$59" fmlaRange="'input ranges'!$C$2:$C$3" noThreeD="1" sel="2" val="0"/>
</file>

<file path=xl/ctrlProps/ctrlProp30.xml><?xml version="1.0" encoding="utf-8"?>
<formControlPr xmlns="http://schemas.microsoft.com/office/spreadsheetml/2009/9/main" objectType="Drop" dropStyle="combo" dx="22" fmlaLink="$F$26" fmlaRange="$C$27:$C$28" noThreeD="1" sel="2" val="0"/>
</file>

<file path=xl/ctrlProps/ctrlProp31.xml><?xml version="1.0" encoding="utf-8"?>
<formControlPr xmlns="http://schemas.microsoft.com/office/spreadsheetml/2009/9/main" objectType="Drop" dropStyle="combo" dx="22" fmlaLink="$F$30" fmlaRange="'input ranges'!$A$2:$A$31" noThreeD="1" sel="10" val="9"/>
</file>

<file path=xl/ctrlProps/ctrlProp32.xml><?xml version="1.0" encoding="utf-8"?>
<formControlPr xmlns="http://schemas.microsoft.com/office/spreadsheetml/2009/9/main" objectType="Drop" dropStyle="combo" dx="22" fmlaLink="$F$37" fmlaRange="'input ranges'!$C$2:$C$3" noThreeD="1" sel="1" val="0"/>
</file>

<file path=xl/ctrlProps/ctrlProp33.xml><?xml version="1.0" encoding="utf-8"?>
<formControlPr xmlns="http://schemas.microsoft.com/office/spreadsheetml/2009/9/main" objectType="Drop" dropStyle="combo" dx="22" fmlaLink="$F$39" fmlaRange="'input ranges'!$C$2:$C$3" noThreeD="1" sel="1" val="0"/>
</file>

<file path=xl/ctrlProps/ctrlProp34.xml><?xml version="1.0" encoding="utf-8"?>
<formControlPr xmlns="http://schemas.microsoft.com/office/spreadsheetml/2009/9/main" objectType="Drop" dropStyle="combo" dx="22" fmlaLink="$F$41" fmlaRange="'input ranges'!$C$2:$C$3" noThreeD="1" sel="2" val="0"/>
</file>

<file path=xl/ctrlProps/ctrlProp35.xml><?xml version="1.0" encoding="utf-8"?>
<formControlPr xmlns="http://schemas.microsoft.com/office/spreadsheetml/2009/9/main" objectType="Drop" dropStyle="combo" dx="22" fmlaLink="$F$43" fmlaRange="'input ranges'!$C$2:$C$3" noThreeD="1" sel="2" val="0"/>
</file>

<file path=xl/ctrlProps/ctrlProp36.xml><?xml version="1.0" encoding="utf-8"?>
<formControlPr xmlns="http://schemas.microsoft.com/office/spreadsheetml/2009/9/main" objectType="Drop" dropStyle="combo" dx="22" fmlaLink="$F$33" fmlaRange="'input ranges'!$C$2:$C$3" noThreeD="1" sel="1" val="0"/>
</file>

<file path=xl/ctrlProps/ctrlProp37.xml><?xml version="1.0" encoding="utf-8"?>
<formControlPr xmlns="http://schemas.microsoft.com/office/spreadsheetml/2009/9/main" objectType="Drop" dropStyle="combo" dx="22" fmlaLink="$F$45" fmlaRange="'input ranges'!$C$2:$C$3" noThreeD="1" sel="1" val="0"/>
</file>

<file path=xl/ctrlProps/ctrlProp38.xml><?xml version="1.0" encoding="utf-8"?>
<formControlPr xmlns="http://schemas.microsoft.com/office/spreadsheetml/2009/9/main" objectType="Drop" dropStyle="combo" dx="22" fmlaLink="$F$3" fmlaRange="$C$4:$C$7" noThreeD="1" sel="2" val="0"/>
</file>

<file path=xl/ctrlProps/ctrlProp39.xml><?xml version="1.0" encoding="utf-8"?>
<formControlPr xmlns="http://schemas.microsoft.com/office/spreadsheetml/2009/9/main" objectType="Drop" dropStyle="combo" dx="22" fmlaLink="$F$9" fmlaRange="$C$10:$C$12" noThreeD="1" sel="2" val="0"/>
</file>

<file path=xl/ctrlProps/ctrlProp40.xml><?xml version="1.0" encoding="utf-8"?>
<formControlPr xmlns="http://schemas.microsoft.com/office/spreadsheetml/2009/9/main" objectType="Drop" dropStyle="combo" dx="22" fmlaLink="$F$14" fmlaRange="$C$15:$C$16" noThreeD="1" sel="2" val="0"/>
</file>

<file path=xl/ctrlProps/ctrlProp41.xml><?xml version="1.0" encoding="utf-8"?>
<formControlPr xmlns="http://schemas.microsoft.com/office/spreadsheetml/2009/9/main" objectType="Drop" dropStyle="combo" dx="22" fmlaLink="$F$18" fmlaRange="$C$19:$C$20" noThreeD="1" sel="1" val="0"/>
</file>

<file path=xl/ctrlProps/ctrlProp42.xml><?xml version="1.0" encoding="utf-8"?>
<formControlPr xmlns="http://schemas.microsoft.com/office/spreadsheetml/2009/9/main" objectType="Drop" dropStyle="combo" dx="22" fmlaLink="$F$22" fmlaRange="$C$23:$C$24" noThreeD="1" sel="2" val="0"/>
</file>

<file path=xl/ctrlProps/ctrlProp43.xml><?xml version="1.0" encoding="utf-8"?>
<formControlPr xmlns="http://schemas.microsoft.com/office/spreadsheetml/2009/9/main" objectType="Drop" dropStyle="combo" dx="22" fmlaLink="$F$4" fmlaRange="$C$5:$C$7" noThreeD="1" sel="1" val="0"/>
</file>

<file path=xl/ctrlProps/ctrlProp44.xml><?xml version="1.0" encoding="utf-8"?>
<formControlPr xmlns="http://schemas.microsoft.com/office/spreadsheetml/2009/9/main" objectType="Drop" dropStyle="combo" dx="22" fmlaLink="$F$9" fmlaRange="$C$10:$C$11" noThreeD="1" sel="1" val="0"/>
</file>

<file path=xl/ctrlProps/ctrlProp45.xml><?xml version="1.0" encoding="utf-8"?>
<formControlPr xmlns="http://schemas.microsoft.com/office/spreadsheetml/2009/9/main" objectType="Drop" dropStyle="combo" dx="22" fmlaLink="$F$13" fmlaRange="$C$14:$C$15" noThreeD="1" sel="2" val="0"/>
</file>

<file path=xl/ctrlProps/ctrlProp46.xml><?xml version="1.0" encoding="utf-8"?>
<formControlPr xmlns="http://schemas.microsoft.com/office/spreadsheetml/2009/9/main" objectType="Drop" dropStyle="combo" dx="22" fmlaLink="$F$17" fmlaRange="$C$18:$C$19" noThreeD="1" sel="2" val="0"/>
</file>

<file path=xl/ctrlProps/ctrlProp47.xml><?xml version="1.0" encoding="utf-8"?>
<formControlPr xmlns="http://schemas.microsoft.com/office/spreadsheetml/2009/9/main" objectType="Drop" dropStyle="combo" dx="22" fmlaLink="$F$21" fmlaRange="$C$22:$C$23" noThreeD="1" sel="2" val="0"/>
</file>

<file path=xl/ctrlProps/ctrlProp48.xml><?xml version="1.0" encoding="utf-8"?>
<formControlPr xmlns="http://schemas.microsoft.com/office/spreadsheetml/2009/9/main" objectType="Drop" dropStyle="combo" dx="22" fmlaLink="$F$25" fmlaRange="'input ranges'!$A$2:$A$31" noThreeD="1" sel="12" val="6"/>
</file>

<file path=xl/ctrlProps/ctrlProp49.xml><?xml version="1.0" encoding="utf-8"?>
<formControlPr xmlns="http://schemas.microsoft.com/office/spreadsheetml/2009/9/main" objectType="Drop" dropStyle="combo" dx="22" fmlaLink="$F$51" fmlaRange="'input ranges'!$C$2:$C$3" noThreeD="1" sel="1" val="0"/>
</file>

<file path=xl/ctrlProps/ctrlProp50.xml><?xml version="1.0" encoding="utf-8"?>
<formControlPr xmlns="http://schemas.microsoft.com/office/spreadsheetml/2009/9/main" objectType="Drop" dropStyle="combo" dx="22" fmlaLink="$F$53" fmlaRange="'input ranges'!$C$2:$C$3" noThreeD="1" sel="1" val="0"/>
</file>

<file path=xl/ctrlProps/ctrlProp51.xml><?xml version="1.0" encoding="utf-8"?>
<formControlPr xmlns="http://schemas.microsoft.com/office/spreadsheetml/2009/9/main" objectType="Drop" dropStyle="combo" dx="22" fmlaLink="$F$55" fmlaRange="'input ranges'!$C$2:$C$3" noThreeD="1" sel="2" val="0"/>
</file>

<file path=xl/ctrlProps/ctrlProp52.xml><?xml version="1.0" encoding="utf-8"?>
<formControlPr xmlns="http://schemas.microsoft.com/office/spreadsheetml/2009/9/main" objectType="Drop" dropStyle="combo" dx="22" fmlaLink="$F$57" fmlaRange="'input ranges'!$C$2:$C$3" noThreeD="1" sel="2" val="0"/>
</file>

<file path=xl/ctrlProps/ctrlProp53.xml><?xml version="1.0" encoding="utf-8"?>
<formControlPr xmlns="http://schemas.microsoft.com/office/spreadsheetml/2009/9/main" objectType="Drop" dropStyle="combo" dx="22" fmlaLink="$F$32" fmlaRange="ny_input" noThreeD="1" sel="2" val="0"/>
</file>

<file path=xl/ctrlProps/ctrlProp54.xml><?xml version="1.0" encoding="utf-8"?>
<formControlPr xmlns="http://schemas.microsoft.com/office/spreadsheetml/2009/9/main" objectType="Drop" dropStyle="combo" dx="22" fmlaLink="$F$33" fmlaRange="ny_input" noThreeD="1" sel="1" val="0"/>
</file>

<file path=xl/ctrlProps/ctrlProp55.xml><?xml version="1.0" encoding="utf-8"?>
<formControlPr xmlns="http://schemas.microsoft.com/office/spreadsheetml/2009/9/main" objectType="Drop" dropStyle="combo" dx="22" fmlaLink="$F$34" fmlaRange="ny_input" noThreeD="1" sel="2" val="0"/>
</file>

<file path=xl/ctrlProps/ctrlProp56.xml><?xml version="1.0" encoding="utf-8"?>
<formControlPr xmlns="http://schemas.microsoft.com/office/spreadsheetml/2009/9/main" objectType="Drop" dropStyle="combo" dx="22" fmlaLink="$F$35" fmlaRange="ny_input" noThreeD="1" sel="2" val="0"/>
</file>

<file path=xl/ctrlProps/ctrlProp57.xml><?xml version="1.0" encoding="utf-8"?>
<formControlPr xmlns="http://schemas.microsoft.com/office/spreadsheetml/2009/9/main" objectType="Drop" dropStyle="combo" dx="22" fmlaLink="$F$36" fmlaRange="ny_input" noThreeD="1" sel="2" val="0"/>
</file>

<file path=xl/ctrlProps/ctrlProp58.xml><?xml version="1.0" encoding="utf-8"?>
<formControlPr xmlns="http://schemas.microsoft.com/office/spreadsheetml/2009/9/main" objectType="Drop" dropStyle="combo" dx="22" fmlaLink="$F$37" fmlaRange="ny_input" noThreeD="1" sel="2" val="0"/>
</file>

<file path=xl/ctrlProps/ctrlProp59.xml><?xml version="1.0" encoding="utf-8"?>
<formControlPr xmlns="http://schemas.microsoft.com/office/spreadsheetml/2009/9/main" objectType="Drop" dropStyle="combo" dx="22" fmlaLink="$F$38" fmlaRange="ny_input" noThreeD="1" sel="2" val="0"/>
</file>

<file path=xl/ctrlProps/ctrlProp60.xml><?xml version="1.0" encoding="utf-8"?>
<formControlPr xmlns="http://schemas.microsoft.com/office/spreadsheetml/2009/9/main" objectType="Drop" dropStyle="combo" dx="22" fmlaLink="$F$39" fmlaRange="ny_input" noThreeD="1" sel="2" val="0"/>
</file>

<file path=xl/ctrlProps/ctrlProp61.xml><?xml version="1.0" encoding="utf-8"?>
<formControlPr xmlns="http://schemas.microsoft.com/office/spreadsheetml/2009/9/main" objectType="Drop" dropStyle="combo" dx="22" fmlaLink="$F$40" fmlaRange="ny_input" noThreeD="1" sel="2" val="0"/>
</file>

<file path=xl/ctrlProps/ctrlProp62.xml><?xml version="1.0" encoding="utf-8"?>
<formControlPr xmlns="http://schemas.microsoft.com/office/spreadsheetml/2009/9/main" objectType="Drop" dropStyle="combo" dx="22" fmlaLink="$F$41" fmlaRange="ny_input" noThreeD="1" sel="2" val="0"/>
</file>

<file path=xl/ctrlProps/ctrlProp63.xml><?xml version="1.0" encoding="utf-8"?>
<formControlPr xmlns="http://schemas.microsoft.com/office/spreadsheetml/2009/9/main" objectType="Drop" dropStyle="combo" dx="22" fmlaLink="$F$42" fmlaRange="ny_input" noThreeD="1" sel="2" val="0"/>
</file>

<file path=xl/ctrlProps/ctrlProp64.xml><?xml version="1.0" encoding="utf-8"?>
<formControlPr xmlns="http://schemas.microsoft.com/office/spreadsheetml/2009/9/main" objectType="Drop" dropStyle="combo" dx="22" fmlaLink="$F$44" fmlaRange="ny_input" noThreeD="1" sel="2" val="0"/>
</file>

<file path=xl/ctrlProps/ctrlProp65.xml><?xml version="1.0" encoding="utf-8"?>
<formControlPr xmlns="http://schemas.microsoft.com/office/spreadsheetml/2009/9/main" objectType="Drop" dropStyle="combo" dx="22" fmlaLink="$F$43" fmlaRange="ny_input" noThreeD="1" sel="2" val="0"/>
</file>

<file path=xl/ctrlProps/ctrlProp66.xml><?xml version="1.0" encoding="utf-8"?>
<formControlPr xmlns="http://schemas.microsoft.com/office/spreadsheetml/2009/9/main" objectType="Drop" dropStyle="combo" dx="22" fmlaLink="$F$45" fmlaRange="ny_input" noThreeD="1" sel="2" val="0"/>
</file>

<file path=xl/ctrlProps/ctrlProp67.xml><?xml version="1.0" encoding="utf-8"?>
<formControlPr xmlns="http://schemas.microsoft.com/office/spreadsheetml/2009/9/main" objectType="Drop" dropStyle="combo" dx="22" fmlaLink="$F$46" fmlaRange="ny_input" noThreeD="1" sel="2" val="0"/>
</file>

<file path=xl/ctrlProps/ctrlProp68.xml><?xml version="1.0" encoding="utf-8"?>
<formControlPr xmlns="http://schemas.microsoft.com/office/spreadsheetml/2009/9/main" objectType="Drop" dropStyle="combo" dx="22" fmlaLink="$F$47" fmlaRange="ny_input" noThreeD="1" sel="2" val="0"/>
</file>

<file path=xl/ctrlProps/ctrlProp69.xml><?xml version="1.0" encoding="utf-8"?>
<formControlPr xmlns="http://schemas.microsoft.com/office/spreadsheetml/2009/9/main" objectType="Drop" dropStyle="combo" dx="22" fmlaLink="$F$28" fmlaRange="'input ranges'!$C$2:$C$3" noThreeD="1" sel="2" val="0"/>
</file>

<file path=xl/ctrlProps/ctrlProp70.xml><?xml version="1.0" encoding="utf-8"?>
<formControlPr xmlns="http://schemas.microsoft.com/office/spreadsheetml/2009/9/main" objectType="Drop" dropStyle="combo" dx="22" fmlaLink="$F$59" fmlaRange="'input ranges'!$C$2:$C$3" noThreeD="1" sel="2" val="0"/>
</file>

<file path=xl/ctrlProps/ctrlProp71.xml><?xml version="1.0" encoding="utf-8"?>
<formControlPr xmlns="http://schemas.microsoft.com/office/spreadsheetml/2009/9/main" objectType="Drop" dropStyle="combo" dx="22" fmlaLink="$F$3" fmlaRange="$C$4:$C$7" noThreeD="1" sel="1" val="0"/>
</file>

<file path=xl/ctrlProps/ctrlProp72.xml><?xml version="1.0" encoding="utf-8"?>
<formControlPr xmlns="http://schemas.microsoft.com/office/spreadsheetml/2009/9/main" objectType="Drop" dropStyle="combo" dx="22" fmlaLink="$F$9" fmlaRange="$C$10:$C$12" noThreeD="1" sel="1" val="0"/>
</file>

<file path=xl/ctrlProps/ctrlProp73.xml><?xml version="1.0" encoding="utf-8"?>
<formControlPr xmlns="http://schemas.microsoft.com/office/spreadsheetml/2009/9/main" objectType="Drop" dropStyle="combo" dx="22" fmlaLink="$F$14" fmlaRange="$C$15:$C$16" noThreeD="1" sel="2" val="0"/>
</file>

<file path=xl/ctrlProps/ctrlProp74.xml><?xml version="1.0" encoding="utf-8"?>
<formControlPr xmlns="http://schemas.microsoft.com/office/spreadsheetml/2009/9/main" objectType="Drop" dropStyle="combo" dx="22" fmlaLink="$F$18" fmlaRange="$C$19:$C$20" noThreeD="1" sel="1" val="0"/>
</file>

<file path=xl/ctrlProps/ctrlProp75.xml><?xml version="1.0" encoding="utf-8"?>
<formControlPr xmlns="http://schemas.microsoft.com/office/spreadsheetml/2009/9/main" objectType="Drop" dropStyle="combo" dx="22" fmlaLink="$F$22" fmlaRange="$C$23:$C$24" noThreeD="1" sel="1" val="0"/>
</file>

<file path=xl/ctrlProps/ctrlProp76.xml><?xml version="1.0" encoding="utf-8"?>
<formControlPr xmlns="http://schemas.microsoft.com/office/spreadsheetml/2009/9/main" objectType="Drop" dropStyle="combo" dx="22" fmlaLink="$F$26" fmlaRange="$C$27:$C$28" noThreeD="1" sel="2" val="0"/>
</file>

<file path=xl/ctrlProps/ctrlProp77.xml><?xml version="1.0" encoding="utf-8"?>
<formControlPr xmlns="http://schemas.microsoft.com/office/spreadsheetml/2009/9/main" objectType="Drop" dropStyle="combo" dx="22" fmlaLink="$F$30" fmlaRange="'input ranges'!$A$2:$A$31" noThreeD="1" sel="20" val="16"/>
</file>

<file path=xl/ctrlProps/ctrlProp78.xml><?xml version="1.0" encoding="utf-8"?>
<formControlPr xmlns="http://schemas.microsoft.com/office/spreadsheetml/2009/9/main" objectType="Drop" dropStyle="combo" dx="22" fmlaLink="$F$37" fmlaRange="'input ranges'!$C$2:$C$3" noThreeD="1" sel="1" val="0"/>
</file>

<file path=xl/ctrlProps/ctrlProp79.xml><?xml version="1.0" encoding="utf-8"?>
<formControlPr xmlns="http://schemas.microsoft.com/office/spreadsheetml/2009/9/main" objectType="Drop" dropStyle="combo" dx="22" fmlaLink="$F$39" fmlaRange="'input ranges'!$C$2:$C$3" noThreeD="1" sel="1" val="0"/>
</file>

<file path=xl/ctrlProps/ctrlProp80.xml><?xml version="1.0" encoding="utf-8"?>
<formControlPr xmlns="http://schemas.microsoft.com/office/spreadsheetml/2009/9/main" objectType="Drop" dropStyle="combo" dx="22" fmlaLink="$F$41" fmlaRange="'input ranges'!$C$2:$C$3" noThreeD="1" sel="1" val="0"/>
</file>

<file path=xl/ctrlProps/ctrlProp81.xml><?xml version="1.0" encoding="utf-8"?>
<formControlPr xmlns="http://schemas.microsoft.com/office/spreadsheetml/2009/9/main" objectType="Drop" dropStyle="combo" dx="22" fmlaLink="$F$43" fmlaRange="'input ranges'!$C$2:$C$3" noThreeD="1" sel="1" val="0"/>
</file>

<file path=xl/ctrlProps/ctrlProp82.xml><?xml version="1.0" encoding="utf-8"?>
<formControlPr xmlns="http://schemas.microsoft.com/office/spreadsheetml/2009/9/main" objectType="Drop" dropStyle="combo" dx="22" fmlaLink="$F$4" fmlaRange="$C$5:$C$7" noThreeD="1" sel="1" val="0"/>
</file>

<file path=xl/ctrlProps/ctrlProp83.xml><?xml version="1.0" encoding="utf-8"?>
<formControlPr xmlns="http://schemas.microsoft.com/office/spreadsheetml/2009/9/main" objectType="Drop" dropStyle="combo" dx="22" fmlaLink="$F$9" fmlaRange="$C$10:$C$12" noThreeD="1" sel="1" val="0"/>
</file>

<file path=xl/ctrlProps/ctrlProp84.xml><?xml version="1.0" encoding="utf-8"?>
<formControlPr xmlns="http://schemas.microsoft.com/office/spreadsheetml/2009/9/main" objectType="Drop" dropStyle="combo" dx="22" fmlaLink="$F$4" fmlaRange="$C$5:$C$7" noThreeD="1" sel="1" val="0"/>
</file>

<file path=xl/ctrlProps/ctrlProp85.xml><?xml version="1.0" encoding="utf-8"?>
<formControlPr xmlns="http://schemas.microsoft.com/office/spreadsheetml/2009/9/main" objectType="Drop" dropStyle="combo" dx="22" fmlaLink="$F$9" fmlaRange="$C$10:$C$12" noThreeD="1" sel="1" val="0"/>
</file>

<file path=xl/ctrlProps/ctrlProp86.xml><?xml version="1.0" encoding="utf-8"?>
<formControlPr xmlns="http://schemas.microsoft.com/office/spreadsheetml/2009/9/main" objectType="Drop" dropStyle="combo" dx="22" fmlaLink="$F$45" fmlaRange="'input ranges'!$C$2:$C$3" noThreeD="1" sel="1" val="0"/>
</file>

<file path=xl/ctrlProps/ctrlProp87.xml><?xml version="1.0" encoding="utf-8"?>
<formControlPr xmlns="http://schemas.microsoft.com/office/spreadsheetml/2009/9/main" objectType="Drop" dropStyle="combo" dx="22" fmlaLink="$F$33" fmlaRange="'input ranges'!$C$2:$C$3" noThreeD="1" sel="1" val="0"/>
</file>

<file path=xl/ctrlProps/ctrlProp88.xml><?xml version="1.0" encoding="utf-8"?>
<formControlPr xmlns="http://schemas.microsoft.com/office/spreadsheetml/2009/9/main" objectType="Drop" dropStyle="combo" dx="22" fmlaLink="$F$9" fmlaRange="$C$10:$C$11" noThreeD="1" sel="1" val="0"/>
</file>

<file path=xl/ctrlProps/ctrlProp89.xml><?xml version="1.0" encoding="utf-8"?>
<formControlPr xmlns="http://schemas.microsoft.com/office/spreadsheetml/2009/9/main" objectType="Drop" dropStyle="combo" dx="22" fmlaLink="$F$13" fmlaRange="$C$14:$C$15" noThreeD="1" sel="1" val="0"/>
</file>

<file path=xl/ctrlProps/ctrlProp90.xml><?xml version="1.0" encoding="utf-8"?>
<formControlPr xmlns="http://schemas.microsoft.com/office/spreadsheetml/2009/9/main" objectType="Drop" dropStyle="combo" dx="22" fmlaLink="$F$17" fmlaRange="$C$18:$C$19" noThreeD="1" sel="1" val="0"/>
</file>

<file path=xl/ctrlProps/ctrlProp91.xml><?xml version="1.0" encoding="utf-8"?>
<formControlPr xmlns="http://schemas.microsoft.com/office/spreadsheetml/2009/9/main" objectType="Drop" dropStyle="combo" dx="22" fmlaLink="$F$21" fmlaRange="$C$22:$C$23" noThreeD="1" sel="2" val="0"/>
</file>

<file path=xl/ctrlProps/ctrlProp92.xml><?xml version="1.0" encoding="utf-8"?>
<formControlPr xmlns="http://schemas.microsoft.com/office/spreadsheetml/2009/9/main" objectType="Drop" dropStyle="combo" dx="22" fmlaLink="$F$47" fmlaRange="'input ranges'!$A$2:$A$31" noThreeD="1" sel="20" val="3"/>
</file>

<file path=xl/ctrlProps/ctrlProp93.xml><?xml version="1.0" encoding="utf-8"?>
<formControlPr xmlns="http://schemas.microsoft.com/office/spreadsheetml/2009/9/main" objectType="Drop" dropStyle="combo" dx="22" fmlaLink="$F$51" fmlaRange="'input ranges'!$C$2:$C$3" noThreeD="1" sel="1" val="0"/>
</file>

<file path=xl/ctrlProps/ctrlProp94.xml><?xml version="1.0" encoding="utf-8"?>
<formControlPr xmlns="http://schemas.microsoft.com/office/spreadsheetml/2009/9/main" objectType="Drop" dropStyle="combo" dx="22" fmlaLink="$F$53" fmlaRange="'input ranges'!$C$2:$C$3" noThreeD="1" sel="1" val="0"/>
</file>

<file path=xl/ctrlProps/ctrlProp95.xml><?xml version="1.0" encoding="utf-8"?>
<formControlPr xmlns="http://schemas.microsoft.com/office/spreadsheetml/2009/9/main" objectType="Drop" dropStyle="combo" dx="22" fmlaLink="$F$55" fmlaRange="'input ranges'!$C$2:$C$3" noThreeD="1" sel="1" val="0"/>
</file>

<file path=xl/ctrlProps/ctrlProp96.xml><?xml version="1.0" encoding="utf-8"?>
<formControlPr xmlns="http://schemas.microsoft.com/office/spreadsheetml/2009/9/main" objectType="Drop" dropStyle="combo" dx="22" fmlaLink="$F$57" fmlaRange="'input ranges'!$C$2:$C$3" noThreeD="1" sel="2" val="0"/>
</file>

<file path=xl/ctrlProps/ctrlProp97.xml><?xml version="1.0" encoding="utf-8"?>
<formControlPr xmlns="http://schemas.microsoft.com/office/spreadsheetml/2009/9/main" objectType="Drop" dropStyle="combo" dx="22" fmlaLink="$F$3" fmlaRange="$C$4:$C$7" noThreeD="1" sel="1" val="0"/>
</file>

<file path=xl/ctrlProps/ctrlProp98.xml><?xml version="1.0" encoding="utf-8"?>
<formControlPr xmlns="http://schemas.microsoft.com/office/spreadsheetml/2009/9/main" objectType="Drop" dropStyle="combo" dx="22" fmlaLink="$F$26" fmlaRange="ny_input" noThreeD="1" sel="2" val="0"/>
</file>

<file path=xl/ctrlProps/ctrlProp99.xml><?xml version="1.0" encoding="utf-8"?>
<formControlPr xmlns="http://schemas.microsoft.com/office/spreadsheetml/2009/9/main" objectType="Drop" dropStyle="combo" dx="22" fmlaLink="$F$27" fmlaRange="ny_input" noThreeD="1" sel="1" val="0"/>
</file>

<file path=xl/ctrlProps/ctrlProp100.xml><?xml version="1.0" encoding="utf-8"?>
<formControlPr xmlns="http://schemas.microsoft.com/office/spreadsheetml/2009/9/main" objectType="Drop" dropStyle="combo" dx="22" fmlaLink="$F$28" fmlaRange="ny_input" noThreeD="1" sel="2" val="0"/>
</file>

<file path=xl/ctrlProps/ctrlProp101.xml><?xml version="1.0" encoding="utf-8"?>
<formControlPr xmlns="http://schemas.microsoft.com/office/spreadsheetml/2009/9/main" objectType="Drop" dropStyle="combo" dx="22" fmlaLink="$F$29" fmlaRange="ny_input" noThreeD="1" sel="2" val="0"/>
</file>

<file path=xl/ctrlProps/ctrlProp102.xml><?xml version="1.0" encoding="utf-8"?>
<formControlPr xmlns="http://schemas.microsoft.com/office/spreadsheetml/2009/9/main" objectType="Drop" dropStyle="combo" dx="22" fmlaLink="$F$30" fmlaRange="ny_input" noThreeD="1" sel="2" val="0"/>
</file>

<file path=xl/ctrlProps/ctrlProp103.xml><?xml version="1.0" encoding="utf-8"?>
<formControlPr xmlns="http://schemas.microsoft.com/office/spreadsheetml/2009/9/main" objectType="Drop" dropStyle="combo" dx="22" fmlaLink="$F$31" fmlaRange="ny_input" noThreeD="1" sel="2" val="0"/>
</file>

<file path=xl/ctrlProps/ctrlProp104.xml><?xml version="1.0" encoding="utf-8"?>
<formControlPr xmlns="http://schemas.microsoft.com/office/spreadsheetml/2009/9/main" objectType="Drop" dropStyle="combo" dx="22" fmlaLink="$F$32" fmlaRange="ny_input" noThreeD="1" sel="2" val="0"/>
</file>

<file path=xl/ctrlProps/ctrlProp105.xml><?xml version="1.0" encoding="utf-8"?>
<formControlPr xmlns="http://schemas.microsoft.com/office/spreadsheetml/2009/9/main" objectType="Drop" dropStyle="combo" dx="22" fmlaLink="$F$33" fmlaRange="ny_input" noThreeD="1" sel="2" val="0"/>
</file>

<file path=xl/ctrlProps/ctrlProp106.xml><?xml version="1.0" encoding="utf-8"?>
<formControlPr xmlns="http://schemas.microsoft.com/office/spreadsheetml/2009/9/main" objectType="Drop" dropStyle="combo" dx="22" fmlaLink="$F$34" fmlaRange="ny_input" noThreeD="1" sel="2" val="0"/>
</file>

<file path=xl/ctrlProps/ctrlProp107.xml><?xml version="1.0" encoding="utf-8"?>
<formControlPr xmlns="http://schemas.microsoft.com/office/spreadsheetml/2009/9/main" objectType="Drop" dropStyle="combo" dx="22" fmlaLink="$F$35" fmlaRange="ny_input" noThreeD="1" sel="2" val="0"/>
</file>

<file path=xl/ctrlProps/ctrlProp108.xml><?xml version="1.0" encoding="utf-8"?>
<formControlPr xmlns="http://schemas.microsoft.com/office/spreadsheetml/2009/9/main" objectType="Drop" dropStyle="combo" dx="22" fmlaLink="$F$36" fmlaRange="ny_input" noThreeD="1" sel="2" val="0"/>
</file>

<file path=xl/ctrlProps/ctrlProp109.xml><?xml version="1.0" encoding="utf-8"?>
<formControlPr xmlns="http://schemas.microsoft.com/office/spreadsheetml/2009/9/main" objectType="Drop" dropStyle="combo" dx="22" fmlaLink="$F$38" fmlaRange="ny_input" noThreeD="1" sel="2" val="0"/>
</file>

<file path=xl/ctrlProps/ctrlProp110.xml><?xml version="1.0" encoding="utf-8"?>
<formControlPr xmlns="http://schemas.microsoft.com/office/spreadsheetml/2009/9/main" objectType="Drop" dropStyle="combo" dx="22" fmlaLink="$F$37" fmlaRange="ny_input" noThreeD="1" sel="2" val="0"/>
</file>

<file path=xl/ctrlProps/ctrlProp111.xml><?xml version="1.0" encoding="utf-8"?>
<formControlPr xmlns="http://schemas.microsoft.com/office/spreadsheetml/2009/9/main" objectType="Drop" dropStyle="combo" dx="22" fmlaLink="$F$39" fmlaRange="ny_input" noThreeD="1" sel="2" val="0"/>
</file>

<file path=xl/ctrlProps/ctrlProp112.xml><?xml version="1.0" encoding="utf-8"?>
<formControlPr xmlns="http://schemas.microsoft.com/office/spreadsheetml/2009/9/main" objectType="Drop" dropStyle="combo" dx="22" fmlaLink="$F$40" fmlaRange="ny_input" noThreeD="1" sel="2" val="0"/>
</file>

<file path=xl/ctrlProps/ctrlProp113.xml><?xml version="1.0" encoding="utf-8"?>
<formControlPr xmlns="http://schemas.microsoft.com/office/spreadsheetml/2009/9/main" objectType="Drop" dropStyle="combo" dx="22" fmlaLink="$F$41" fmlaRange="ny_input" noThreeD="1" sel="2" val="0"/>
</file>

<file path=xl/ctrlProps/ctrlProp114.xml><?xml version="1.0" encoding="utf-8"?>
<formControlPr xmlns="http://schemas.microsoft.com/office/spreadsheetml/2009/9/main" objectType="Drop" dropStyle="combo" dx="22" fmlaLink="$F$44" fmlaRange="'input ranges'!$C$2:$C$3" noThreeD="1" sel="1" val="0"/>
</file>

<file path=xl/ctrlProps/ctrlProp115.xml><?xml version="1.0" encoding="utf-8"?>
<formControlPr xmlns="http://schemas.microsoft.com/office/spreadsheetml/2009/9/main" objectType="Drop" dropStyle="combo" dx="22" fmlaLink="$F$59" fmlaRange="'input ranges'!$C$2:$C$3" noThreeD="1" sel="2" val="0"/>
</file>

<file path=xl/ctrlProps/ctrlProp116.xml><?xml version="1.0" encoding="utf-8"?>
<formControlPr xmlns="http://schemas.microsoft.com/office/spreadsheetml/2009/9/main" objectType="Drop" dropStyle="combo" dx="22" fmlaLink="$F$3" fmlaRange="$C$4:$C$7" noThreeD="1" sel="1" val="0"/>
</file>

<file path=xl/ctrlProps/ctrlProp117.xml><?xml version="1.0" encoding="utf-8"?>
<formControlPr xmlns="http://schemas.microsoft.com/office/spreadsheetml/2009/9/main" objectType="Drop" dropStyle="combo" dx="22" fmlaLink="$F$15" fmlaRange="$C$16:$C$17" noThreeD="1" sel="1" val="0"/>
</file>

<file path=xl/ctrlProps/ctrlProp118.xml><?xml version="1.0" encoding="utf-8"?>
<formControlPr xmlns="http://schemas.microsoft.com/office/spreadsheetml/2009/9/main" objectType="Drop" dropStyle="combo" dx="22" fmlaLink="$F$19" fmlaRange="$C$20:$C$21" noThreeD="1" sel="1" val="0"/>
</file>

<file path=xl/ctrlProps/ctrlProp119.xml><?xml version="1.0" encoding="utf-8"?>
<formControlPr xmlns="http://schemas.microsoft.com/office/spreadsheetml/2009/9/main" objectType="Drop" dropStyle="combo" dx="22" fmlaLink="$F$23" fmlaRange="$C$24:$C$25" noThreeD="1" sel="1" val="0"/>
</file>

<file path=xl/ctrlProps/ctrlProp120.xml><?xml version="1.0" encoding="utf-8"?>
<formControlPr xmlns="http://schemas.microsoft.com/office/spreadsheetml/2009/9/main" objectType="Drop" dropStyle="combo" dx="22" fmlaLink="$F$27" fmlaRange="$C$28:$C$29" noThreeD="1" sel="2" val="0"/>
</file>

<file path=xl/ctrlProps/ctrlProp121.xml><?xml version="1.0" encoding="utf-8"?>
<formControlPr xmlns="http://schemas.microsoft.com/office/spreadsheetml/2009/9/main" objectType="Drop" dropStyle="combo" dx="22" fmlaLink="$F$31" fmlaRange="'input ranges'!$A$2:$A$31" noThreeD="1" sel="20" val="14"/>
</file>

<file path=xl/ctrlProps/ctrlProp122.xml><?xml version="1.0" encoding="utf-8"?>
<formControlPr xmlns="http://schemas.microsoft.com/office/spreadsheetml/2009/9/main" objectType="Drop" dropStyle="combo" dx="22" fmlaLink="$F$38" fmlaRange="'input ranges'!$C$2:$C$3" noThreeD="1" sel="1" val="0"/>
</file>

<file path=xl/ctrlProps/ctrlProp123.xml><?xml version="1.0" encoding="utf-8"?>
<formControlPr xmlns="http://schemas.microsoft.com/office/spreadsheetml/2009/9/main" objectType="Drop" dropStyle="combo" dx="22" fmlaLink="$F$40" fmlaRange="'input ranges'!$C$2:$C$3" noThreeD="1" sel="1" val="0"/>
</file>

<file path=xl/ctrlProps/ctrlProp124.xml><?xml version="1.0" encoding="utf-8"?>
<formControlPr xmlns="http://schemas.microsoft.com/office/spreadsheetml/2009/9/main" objectType="Drop" dropStyle="combo" dx="22" fmlaLink="$F$42" fmlaRange="'input ranges'!$C$2:$C$3" noThreeD="1" sel="1" val="0"/>
</file>

<file path=xl/ctrlProps/ctrlProp125.xml><?xml version="1.0" encoding="utf-8"?>
<formControlPr xmlns="http://schemas.microsoft.com/office/spreadsheetml/2009/9/main" objectType="Drop" dropStyle="combo" dx="22" fmlaLink="$F$44" fmlaRange="'input ranges'!$C$2:$C$3" noThreeD="1" sel="1" val="0"/>
</file>

<file path=xl/ctrlProps/ctrlProp126.xml><?xml version="1.0" encoding="utf-8"?>
<formControlPr xmlns="http://schemas.microsoft.com/office/spreadsheetml/2009/9/main" objectType="Drop" dropStyle="combo" dx="22" fmlaLink="$F$9" fmlaRange="$C$10:$C$13" noThreeD="1" sel="1" val="0"/>
</file>

<file path=xl/ctrlProps/ctrlProp127.xml><?xml version="1.0" encoding="utf-8"?>
<formControlPr xmlns="http://schemas.microsoft.com/office/spreadsheetml/2009/9/main" objectType="Drop" dropStyle="combo" dx="22" fmlaLink="$F$43" fmlaRange="'input ranges'!$C$2:$C$3" noThreeD="1" sel="1" val="0"/>
</file>

<file path=xl/ctrlProps/ctrlProp128.xml><?xml version="1.0" encoding="utf-8"?>
<formControlPr xmlns="http://schemas.microsoft.com/office/spreadsheetml/2009/9/main" objectType="Drop" dropStyle="combo" dx="22" fmlaLink="$F$46" fmlaRange="'input ranges'!$C$2:$C$3" noThreeD="1" sel="1" val="0"/>
</file>

<file path=xl/ctrlProps/ctrlProp129.xml><?xml version="1.0" encoding="utf-8"?>
<formControlPr xmlns="http://schemas.microsoft.com/office/spreadsheetml/2009/9/main" objectType="Drop" dropStyle="combo" dx="22" fmlaLink="$F$3" fmlaRange="$C$4:$C$5" noThreeD="1" sel="1" val="0"/>
</file>

<file path=xl/ctrlProps/ctrlProp130.xml><?xml version="1.0" encoding="utf-8"?>
<formControlPr xmlns="http://schemas.microsoft.com/office/spreadsheetml/2009/9/main" objectType="Drop" dropStyle="combo" dx="22" fmlaLink="$F$17" fmlaRange="$C$18:$C$19" noThreeD="1" sel="1" val="0"/>
</file>

<file path=xl/ctrlProps/ctrlProp131.xml><?xml version="1.0" encoding="utf-8"?>
<formControlPr xmlns="http://schemas.microsoft.com/office/spreadsheetml/2009/9/main" objectType="Drop" dropStyle="combo" dx="22" fmlaLink="$F$21" fmlaRange="$C$22:$C$23" noThreeD="1" sel="1" val="0"/>
</file>

<file path=xl/ctrlProps/ctrlProp132.xml><?xml version="1.0" encoding="utf-8"?>
<formControlPr xmlns="http://schemas.microsoft.com/office/spreadsheetml/2009/9/main" objectType="Drop" dropStyle="combo" dx="22" fmlaLink="$F$25" fmlaRange="$C$26:$C$27" noThreeD="1" sel="2" val="0"/>
</file>

<file path=xl/ctrlProps/ctrlProp133.xml><?xml version="1.0" encoding="utf-8"?>
<formControlPr xmlns="http://schemas.microsoft.com/office/spreadsheetml/2009/9/main" objectType="Drop" dropStyle="combo" dx="22" fmlaLink="$F$51" fmlaRange="$C$52:$C$53" noThreeD="1" sel="2" val="0"/>
</file>

<file path=xl/ctrlProps/ctrlProp134.xml><?xml version="1.0" encoding="utf-8"?>
<formControlPr xmlns="http://schemas.microsoft.com/office/spreadsheetml/2009/9/main" objectType="Drop" dropStyle="combo" dx="22" fmlaLink="$F$55" fmlaRange="'input ranges'!$A$2:$A$31" noThreeD="1" sel="10" val="9"/>
</file>

<file path=xl/ctrlProps/ctrlProp135.xml><?xml version="1.0" encoding="utf-8"?>
<formControlPr xmlns="http://schemas.microsoft.com/office/spreadsheetml/2009/9/main" objectType="Drop" dropStyle="combo" dx="22" fmlaLink="$F$59" fmlaRange="'input ranges'!$C$2:$C$3" noThreeD="1" sel="1" val="0"/>
</file>

<file path=xl/ctrlProps/ctrlProp136.xml><?xml version="1.0" encoding="utf-8"?>
<formControlPr xmlns="http://schemas.microsoft.com/office/spreadsheetml/2009/9/main" objectType="Drop" dropStyle="combo" dx="22" fmlaLink="$F$61" fmlaRange="'input ranges'!$C$2:$C$3" noThreeD="1" sel="1" val="0"/>
</file>

<file path=xl/ctrlProps/ctrlProp137.xml><?xml version="1.0" encoding="utf-8"?>
<formControlPr xmlns="http://schemas.microsoft.com/office/spreadsheetml/2009/9/main" objectType="Drop" dropStyle="combo" dx="22" fmlaLink="$F$63" fmlaRange="'input ranges'!$C$2:$C$3" noThreeD="1" sel="2" val="0"/>
</file>

<file path=xl/ctrlProps/ctrlProp138.xml><?xml version="1.0" encoding="utf-8"?>
<formControlPr xmlns="http://schemas.microsoft.com/office/spreadsheetml/2009/9/main" objectType="Drop" dropStyle="combo" dx="22" fmlaLink="$F$65" fmlaRange="'input ranges'!$C$2:$C$3" noThreeD="1" sel="2" val="0"/>
</file>

<file path=xl/ctrlProps/ctrlProp139.xml><?xml version="1.0" encoding="utf-8"?>
<formControlPr xmlns="http://schemas.microsoft.com/office/spreadsheetml/2009/9/main" objectType="Drop" dropStyle="combo" dx="22" fmlaLink="$F$11" fmlaRange="$C$12:$C$15" noThreeD="1" sel="1" val="0"/>
</file>

<file path=xl/ctrlProps/ctrlProp140.xml><?xml version="1.0" encoding="utf-8"?>
<formControlPr xmlns="http://schemas.microsoft.com/office/spreadsheetml/2009/9/main" objectType="Drop" dropStyle="combo" dx="22" fmlaLink="$F$33" fmlaRange="ny_input" noThreeD="1" sel="2" val="0"/>
</file>

<file path=xl/ctrlProps/ctrlProp141.xml><?xml version="1.0" encoding="utf-8"?>
<formControlPr xmlns="http://schemas.microsoft.com/office/spreadsheetml/2009/9/main" objectType="Drop" dropStyle="combo" dx="22" fmlaLink="$F$34" fmlaRange="ny_input" noThreeD="1" sel="2" val="0"/>
</file>

<file path=xl/ctrlProps/ctrlProp142.xml><?xml version="1.0" encoding="utf-8"?>
<formControlPr xmlns="http://schemas.microsoft.com/office/spreadsheetml/2009/9/main" objectType="Drop" dropStyle="combo" dx="22" fmlaLink="$F$35" fmlaRange="ny_input" noThreeD="1" sel="2" val="0"/>
</file>

<file path=xl/ctrlProps/ctrlProp143.xml><?xml version="1.0" encoding="utf-8"?>
<formControlPr xmlns="http://schemas.microsoft.com/office/spreadsheetml/2009/9/main" objectType="Drop" dropStyle="combo" dx="22" fmlaLink="$F$36" fmlaRange="ny_input" noThreeD="1" sel="2" val="0"/>
</file>

<file path=xl/ctrlProps/ctrlProp144.xml><?xml version="1.0" encoding="utf-8"?>
<formControlPr xmlns="http://schemas.microsoft.com/office/spreadsheetml/2009/9/main" objectType="Drop" dropStyle="combo" dx="22" fmlaLink="$F$37" fmlaRange="ny_input" noThreeD="1" sel="1" val="0"/>
</file>

<file path=xl/ctrlProps/ctrlProp145.xml><?xml version="1.0" encoding="utf-8"?>
<formControlPr xmlns="http://schemas.microsoft.com/office/spreadsheetml/2009/9/main" objectType="Drop" dropStyle="combo" dx="22" fmlaLink="$F$38" fmlaRange="ny_input" noThreeD="1" sel="2" val="0"/>
</file>

<file path=xl/ctrlProps/ctrlProp146.xml><?xml version="1.0" encoding="utf-8"?>
<formControlPr xmlns="http://schemas.microsoft.com/office/spreadsheetml/2009/9/main" objectType="Drop" dropStyle="combo" dx="22" fmlaLink="$F$39" fmlaRange="ny_input" noThreeD="1" sel="2" val="0"/>
</file>

<file path=xl/ctrlProps/ctrlProp147.xml><?xml version="1.0" encoding="utf-8"?>
<formControlPr xmlns="http://schemas.microsoft.com/office/spreadsheetml/2009/9/main" objectType="Drop" dropStyle="combo" dx="22" fmlaLink="$F$40" fmlaRange="ny_input" noThreeD="1" sel="2" val="0"/>
</file>

<file path=xl/ctrlProps/ctrlProp148.xml><?xml version="1.0" encoding="utf-8"?>
<formControlPr xmlns="http://schemas.microsoft.com/office/spreadsheetml/2009/9/main" objectType="Drop" dropStyle="combo" dx="22" fmlaLink="$F$41" fmlaRange="ny_input" noThreeD="1" sel="2" val="0"/>
</file>

<file path=xl/ctrlProps/ctrlProp149.xml><?xml version="1.0" encoding="utf-8"?>
<formControlPr xmlns="http://schemas.microsoft.com/office/spreadsheetml/2009/9/main" objectType="Drop" dropStyle="combo" dx="22" fmlaLink="$F$42" fmlaRange="ny_input" noThreeD="1" sel="2" val="0"/>
</file>

<file path=xl/ctrlProps/ctrlProp150.xml><?xml version="1.0" encoding="utf-8"?>
<formControlPr xmlns="http://schemas.microsoft.com/office/spreadsheetml/2009/9/main" objectType="Drop" dropStyle="combo" dx="22" fmlaLink="$F$43" fmlaRange="ny_input" noThreeD="1" sel="2" val="0"/>
</file>

<file path=xl/ctrlProps/ctrlProp151.xml><?xml version="1.0" encoding="utf-8"?>
<formControlPr xmlns="http://schemas.microsoft.com/office/spreadsheetml/2009/9/main" objectType="Drop" dropStyle="combo" dx="22" fmlaLink="$F$45" fmlaRange="ny_input" noThreeD="1" sel="2" val="0"/>
</file>

<file path=xl/ctrlProps/ctrlProp152.xml><?xml version="1.0" encoding="utf-8"?>
<formControlPr xmlns="http://schemas.microsoft.com/office/spreadsheetml/2009/9/main" objectType="Drop" dropStyle="combo" dx="22" fmlaLink="$F$44" fmlaRange="ny_input" noThreeD="1" sel="2" val="0"/>
</file>

<file path=xl/ctrlProps/ctrlProp153.xml><?xml version="1.0" encoding="utf-8"?>
<formControlPr xmlns="http://schemas.microsoft.com/office/spreadsheetml/2009/9/main" objectType="Drop" dropStyle="combo" dx="22" fmlaLink="$F$46" fmlaRange="ny_input" noThreeD="1" sel="2" val="0"/>
</file>

<file path=xl/ctrlProps/ctrlProp154.xml><?xml version="1.0" encoding="utf-8"?>
<formControlPr xmlns="http://schemas.microsoft.com/office/spreadsheetml/2009/9/main" objectType="Drop" dropStyle="combo" dx="22" fmlaLink="$F$47" fmlaRange="ny_input" noThreeD="1" sel="2" val="0"/>
</file>

<file path=xl/ctrlProps/ctrlProp155.xml><?xml version="1.0" encoding="utf-8"?>
<formControlPr xmlns="http://schemas.microsoft.com/office/spreadsheetml/2009/9/main" objectType="Drop" dropStyle="combo" dx="22" fmlaLink="$F$48" fmlaRange="ny_input" noThreeD="1" sel="2" val="0"/>
</file>

<file path=xl/ctrlProps/ctrlProp156.xml><?xml version="1.0" encoding="utf-8"?>
<formControlPr xmlns="http://schemas.microsoft.com/office/spreadsheetml/2009/9/main" objectType="Drop" dropStyle="combo" dx="22" fmlaLink="$F$29" fmlaRange="'input ranges'!$C$2:$C$3" noThreeD="1" sel="2" val="0"/>
</file>

<file path=xl/ctrlProps/ctrlProp157.xml><?xml version="1.0" encoding="utf-8"?>
<formControlPr xmlns="http://schemas.microsoft.com/office/spreadsheetml/2009/9/main" objectType="Drop" dropStyle="combo" dx="22" fmlaLink="$F$7" fmlaRange="$C$8:$C$9" noThreeD="1" sel="2" val="0"/>
</file>

<file path=xl/ctrlProps/ctrlProp158.xml><?xml version="1.0" encoding="utf-8"?>
<formControlPr xmlns="http://schemas.microsoft.com/office/spreadsheetml/2009/9/main" objectType="Drop" dropStyle="combo" dx="22" fmlaLink="$F$67" fmlaRange="'input ranges'!$C$2:$C$3" noThreeD="1" sel="2" val="0"/>
</file>

<file path=xl/ctrlProps/ctrlProp159.xml><?xml version="1.0" encoding="utf-8"?>
<formControlPr xmlns="http://schemas.microsoft.com/office/spreadsheetml/2009/9/main" objectType="Drop" dropStyle="combo" dx="22" fmlaLink="$F$3" fmlaRange="$C$4:$C$7" noThreeD="1" sel="1" val="0"/>
</file>

<file path=xl/ctrlProps/ctrlProp160.xml><?xml version="1.0" encoding="utf-8"?>
<formControlPr xmlns="http://schemas.microsoft.com/office/spreadsheetml/2009/9/main" objectType="Drop" dropStyle="combo" dx="22" fmlaLink="$F$9" fmlaRange="$C$10:$C$12" noThreeD="1" sel="1" val="0"/>
</file>

<file path=xl/ctrlProps/ctrlProp161.xml><?xml version="1.0" encoding="utf-8"?>
<formControlPr xmlns="http://schemas.microsoft.com/office/spreadsheetml/2009/9/main" objectType="Drop" dropStyle="combo" dx="22" fmlaLink="$F$14" fmlaRange="$C$15:$C$16" noThreeD="1" sel="1" val="0"/>
</file>

<file path=xl/ctrlProps/ctrlProp162.xml><?xml version="1.0" encoding="utf-8"?>
<formControlPr xmlns="http://schemas.microsoft.com/office/spreadsheetml/2009/9/main" objectType="Drop" dropStyle="combo" dx="22" fmlaLink="$F$18" fmlaRange="$C$19:$C$20" noThreeD="1" sel="1" val="0"/>
</file>

<file path=xl/ctrlProps/ctrlProp163.xml><?xml version="1.0" encoding="utf-8"?>
<formControlPr xmlns="http://schemas.microsoft.com/office/spreadsheetml/2009/9/main" objectType="Drop" dropStyle="combo" dx="22" fmlaLink="$F$22" fmlaRange="$C$23:$C$24" noThreeD="1" sel="1" val="0"/>
</file>

<file path=xl/ctrlProps/ctrlProp164.xml><?xml version="1.0" encoding="utf-8"?>
<formControlPr xmlns="http://schemas.microsoft.com/office/spreadsheetml/2009/9/main" objectType="Drop" dropStyle="combo" dx="22" fmlaLink="$F$26" fmlaRange="$C$27:$C$28" noThreeD="1" sel="2" val="0"/>
</file>

<file path=xl/ctrlProps/ctrlProp165.xml><?xml version="1.0" encoding="utf-8"?>
<formControlPr xmlns="http://schemas.microsoft.com/office/spreadsheetml/2009/9/main" objectType="Drop" dropStyle="combo" dx="22" fmlaLink="$F$30" fmlaRange="'input ranges'!$A$2:$A$31" noThreeD="1" sel="20" val="18"/>
</file>

<file path=xl/ctrlProps/ctrlProp166.xml><?xml version="1.0" encoding="utf-8"?>
<formControlPr xmlns="http://schemas.microsoft.com/office/spreadsheetml/2009/9/main" objectType="Drop" dropStyle="combo" dx="22" fmlaLink="$F$37" fmlaRange="'input ranges'!$C$2:$C$3" noThreeD="1" sel="1" val="0"/>
</file>

<file path=xl/ctrlProps/ctrlProp167.xml><?xml version="1.0" encoding="utf-8"?>
<formControlPr xmlns="http://schemas.microsoft.com/office/spreadsheetml/2009/9/main" objectType="Drop" dropStyle="combo" dx="22" fmlaLink="$F$39" fmlaRange="'input ranges'!$C$2:$C$3" noThreeD="1" sel="1" val="0"/>
</file>

<file path=xl/ctrlProps/ctrlProp168.xml><?xml version="1.0" encoding="utf-8"?>
<formControlPr xmlns="http://schemas.microsoft.com/office/spreadsheetml/2009/9/main" objectType="Drop" dropStyle="combo" dx="22" fmlaLink="$F$41" fmlaRange="'input ranges'!$C$2:$C$3" noThreeD="1" sel="1" val="0"/>
</file>

<file path=xl/ctrlProps/ctrlProp169.xml><?xml version="1.0" encoding="utf-8"?>
<formControlPr xmlns="http://schemas.microsoft.com/office/spreadsheetml/2009/9/main" objectType="Drop" dropStyle="combo" dx="22" fmlaLink="$F$43" fmlaRange="'input ranges'!$C$2:$C$3" noThreeD="1" sel="1" val="0"/>
</file>

<file path=xl/ctrlProps/ctrlProp170.xml><?xml version="1.0" encoding="utf-8"?>
<formControlPr xmlns="http://schemas.microsoft.com/office/spreadsheetml/2009/9/main" objectType="Drop" dropStyle="combo" dx="22" fmlaLink="$F$45" fmlaRange="'input ranges'!$C$2:$C$3" noThreeD="1" sel="1" val="0"/>
</file>

<file path=xl/ctrlProps/ctrlProp171.xml><?xml version="1.0" encoding="utf-8"?>
<formControlPr xmlns="http://schemas.microsoft.com/office/spreadsheetml/2009/9/main" objectType="Drop" dropStyle="combo" dx="22" fmlaLink="$F$33" fmlaRange="'input ranges'!$C$2:$C$3" noThreeD="1" sel="1" val="0"/>
</file>

<file path=xl/drawings/_rels/drawing10.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9522</xdr:colOff>
      <xdr:row>6</xdr:row>
      <xdr:rowOff>9526</xdr:rowOff>
    </xdr:from>
    <xdr:to>
      <xdr:col>0</xdr:col>
      <xdr:colOff>1613296</xdr:colOff>
      <xdr:row>9</xdr:row>
      <xdr:rowOff>180976</xdr:rowOff>
    </xdr:to>
    <xdr:sp macro="" textlink="">
      <xdr:nvSpPr>
        <xdr:cNvPr id="2" name="Arrow: Pentagon 1">
          <a:extLst>
            <a:ext uri="{FF2B5EF4-FFF2-40B4-BE49-F238E27FC236}">
              <a16:creationId xmlns:a16="http://schemas.microsoft.com/office/drawing/2014/main" id="{00000000-0008-0000-0000-000002000000}"/>
            </a:ext>
          </a:extLst>
        </xdr:cNvPr>
        <xdr:cNvSpPr/>
      </xdr:nvSpPr>
      <xdr:spPr>
        <a:xfrm rot="5400000">
          <a:off x="439934" y="1680567"/>
          <a:ext cx="742950" cy="1603774"/>
        </a:xfrm>
        <a:prstGeom prst="homePlate">
          <a:avLst>
            <a:gd name="adj" fmla="val 23913"/>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6</xdr:row>
      <xdr:rowOff>76200</xdr:rowOff>
    </xdr:from>
    <xdr:to>
      <xdr:col>0</xdr:col>
      <xdr:colOff>1590675</xdr:colOff>
      <xdr:row>8</xdr:row>
      <xdr:rowOff>161925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2181225"/>
          <a:ext cx="159067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Gather relevant information</a:t>
          </a:r>
        </a:p>
      </xdr:txBody>
    </xdr:sp>
    <xdr:clientData/>
  </xdr:twoCellAnchor>
  <xdr:twoCellAnchor>
    <xdr:from>
      <xdr:col>0</xdr:col>
      <xdr:colOff>5953</xdr:colOff>
      <xdr:row>11</xdr:row>
      <xdr:rowOff>9481</xdr:rowOff>
    </xdr:from>
    <xdr:to>
      <xdr:col>1</xdr:col>
      <xdr:colOff>5953</xdr:colOff>
      <xdr:row>14</xdr:row>
      <xdr:rowOff>180929</xdr:rowOff>
    </xdr:to>
    <xdr:sp macro="" textlink="">
      <xdr:nvSpPr>
        <xdr:cNvPr id="4" name="Arrow: Chevron 3">
          <a:extLst>
            <a:ext uri="{FF2B5EF4-FFF2-40B4-BE49-F238E27FC236}">
              <a16:creationId xmlns:a16="http://schemas.microsoft.com/office/drawing/2014/main" id="{00000000-0008-0000-0000-000004000000}"/>
            </a:ext>
          </a:extLst>
        </xdr:cNvPr>
        <xdr:cNvSpPr/>
      </xdr:nvSpPr>
      <xdr:spPr>
        <a:xfrm rot="5400000">
          <a:off x="446175" y="2360498"/>
          <a:ext cx="742948" cy="1623391"/>
        </a:xfrm>
        <a:prstGeom prst="chevron">
          <a:avLst>
            <a:gd name="adj" fmla="val 24590"/>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0</xdr:col>
      <xdr:colOff>11906</xdr:colOff>
      <xdr:row>12</xdr:row>
      <xdr:rowOff>109495</xdr:rowOff>
    </xdr:from>
    <xdr:to>
      <xdr:col>1</xdr:col>
      <xdr:colOff>5953</xdr:colOff>
      <xdr:row>14</xdr:row>
      <xdr:rowOff>96399</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1906" y="3091234"/>
          <a:ext cx="1617438" cy="367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Classify event</a:t>
          </a:r>
        </a:p>
      </xdr:txBody>
    </xdr:sp>
    <xdr:clientData/>
  </xdr:twoCellAnchor>
  <xdr:twoCellAnchor>
    <xdr:from>
      <xdr:col>0</xdr:col>
      <xdr:colOff>0</xdr:colOff>
      <xdr:row>16</xdr:row>
      <xdr:rowOff>8291</xdr:rowOff>
    </xdr:from>
    <xdr:to>
      <xdr:col>1</xdr:col>
      <xdr:colOff>0</xdr:colOff>
      <xdr:row>19</xdr:row>
      <xdr:rowOff>179739</xdr:rowOff>
    </xdr:to>
    <xdr:sp macro="" textlink="">
      <xdr:nvSpPr>
        <xdr:cNvPr id="6" name="Arrow: Chevron 5">
          <a:extLst>
            <a:ext uri="{FF2B5EF4-FFF2-40B4-BE49-F238E27FC236}">
              <a16:creationId xmlns:a16="http://schemas.microsoft.com/office/drawing/2014/main" id="{00000000-0008-0000-0000-000006000000}"/>
            </a:ext>
          </a:extLst>
        </xdr:cNvPr>
        <xdr:cNvSpPr/>
      </xdr:nvSpPr>
      <xdr:spPr>
        <a:xfrm rot="5400000">
          <a:off x="440222" y="3311808"/>
          <a:ext cx="742948" cy="1623391"/>
        </a:xfrm>
        <a:prstGeom prst="chevron">
          <a:avLst>
            <a:gd name="adj" fmla="val 24590"/>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0</xdr:col>
      <xdr:colOff>5953</xdr:colOff>
      <xdr:row>16</xdr:row>
      <xdr:rowOff>186885</xdr:rowOff>
    </xdr:from>
    <xdr:to>
      <xdr:col>1</xdr:col>
      <xdr:colOff>0</xdr:colOff>
      <xdr:row>19</xdr:row>
      <xdr:rowOff>95209</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5953" y="3930624"/>
          <a:ext cx="1617438" cy="479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Enter information into</a:t>
          </a:r>
          <a:r>
            <a:rPr lang="en-GB" sz="1100" baseline="0"/>
            <a:t> the spreadsheet</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3638550</xdr:colOff>
          <xdr:row>3</xdr:row>
          <xdr:rowOff>57150</xdr:rowOff>
        </xdr:from>
        <xdr:to>
          <xdr:col>3</xdr:col>
          <xdr:colOff>1800225</xdr:colOff>
          <xdr:row>4</xdr:row>
          <xdr:rowOff>66675</xdr:rowOff>
        </xdr:to>
        <xdr:sp macro="" textlink="">
          <xdr:nvSpPr>
            <xdr:cNvPr id="38914" name="Drop Down 2" hidden="1">
              <a:extLst>
                <a:ext uri="{63B3BB69-23CF-44E3-9099-C40C66FF867C}">
                  <a14:compatExt spid="_x0000_s38914"/>
                </a:ext>
                <a:ext uri="{FF2B5EF4-FFF2-40B4-BE49-F238E27FC236}">
                  <a16:creationId xmlns:a16="http://schemas.microsoft.com/office/drawing/2014/main" id="{00000000-0008-0000-0200-000002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28575</xdr:rowOff>
        </xdr:from>
        <xdr:to>
          <xdr:col>3</xdr:col>
          <xdr:colOff>1800225</xdr:colOff>
          <xdr:row>9</xdr:row>
          <xdr:rowOff>38100</xdr:rowOff>
        </xdr:to>
        <xdr:sp macro="" textlink="">
          <xdr:nvSpPr>
            <xdr:cNvPr id="38915" name="Drop Down 3" hidden="1">
              <a:extLst>
                <a:ext uri="{63B3BB69-23CF-44E3-9099-C40C66FF867C}">
                  <a14:compatExt spid="_x0000_s38915"/>
                </a:ext>
                <a:ext uri="{FF2B5EF4-FFF2-40B4-BE49-F238E27FC236}">
                  <a16:creationId xmlns:a16="http://schemas.microsoft.com/office/drawing/2014/main" id="{00000000-0008-0000-0200-000003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38100</xdr:rowOff>
        </xdr:from>
        <xdr:to>
          <xdr:col>3</xdr:col>
          <xdr:colOff>1800225</xdr:colOff>
          <xdr:row>13</xdr:row>
          <xdr:rowOff>47625</xdr:rowOff>
        </xdr:to>
        <xdr:sp macro="" textlink="">
          <xdr:nvSpPr>
            <xdr:cNvPr id="38916" name="Drop Down 4" hidden="1">
              <a:extLst>
                <a:ext uri="{63B3BB69-23CF-44E3-9099-C40C66FF867C}">
                  <a14:compatExt spid="_x0000_s38916"/>
                </a:ext>
                <a:ext uri="{FF2B5EF4-FFF2-40B4-BE49-F238E27FC236}">
                  <a16:creationId xmlns:a16="http://schemas.microsoft.com/office/drawing/2014/main" id="{00000000-0008-0000-0200-000004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28575</xdr:rowOff>
        </xdr:from>
        <xdr:to>
          <xdr:col>3</xdr:col>
          <xdr:colOff>1800225</xdr:colOff>
          <xdr:row>17</xdr:row>
          <xdr:rowOff>38100</xdr:rowOff>
        </xdr:to>
        <xdr:sp macro="" textlink="">
          <xdr:nvSpPr>
            <xdr:cNvPr id="38917" name="Drop Down 5" hidden="1">
              <a:extLst>
                <a:ext uri="{63B3BB69-23CF-44E3-9099-C40C66FF867C}">
                  <a14:compatExt spid="_x0000_s38917"/>
                </a:ext>
                <a:ext uri="{FF2B5EF4-FFF2-40B4-BE49-F238E27FC236}">
                  <a16:creationId xmlns:a16="http://schemas.microsoft.com/office/drawing/2014/main" id="{00000000-0008-0000-0200-000005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28575</xdr:rowOff>
        </xdr:from>
        <xdr:to>
          <xdr:col>3</xdr:col>
          <xdr:colOff>1800225</xdr:colOff>
          <xdr:row>21</xdr:row>
          <xdr:rowOff>38100</xdr:rowOff>
        </xdr:to>
        <xdr:sp macro="" textlink="">
          <xdr:nvSpPr>
            <xdr:cNvPr id="38918" name="Drop Down 6" hidden="1">
              <a:extLst>
                <a:ext uri="{63B3BB69-23CF-44E3-9099-C40C66FF867C}">
                  <a14:compatExt spid="_x0000_s38918"/>
                </a:ext>
                <a:ext uri="{FF2B5EF4-FFF2-40B4-BE49-F238E27FC236}">
                  <a16:creationId xmlns:a16="http://schemas.microsoft.com/office/drawing/2014/main" id="{00000000-0008-0000-0200-000006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24</xdr:row>
          <xdr:rowOff>38100</xdr:rowOff>
        </xdr:from>
        <xdr:to>
          <xdr:col>3</xdr:col>
          <xdr:colOff>1781175</xdr:colOff>
          <xdr:row>25</xdr:row>
          <xdr:rowOff>47625</xdr:rowOff>
        </xdr:to>
        <xdr:sp macro="" textlink="">
          <xdr:nvSpPr>
            <xdr:cNvPr id="38919" name="Drop Down 7" hidden="1">
              <a:extLst>
                <a:ext uri="{63B3BB69-23CF-44E3-9099-C40C66FF867C}">
                  <a14:compatExt spid="_x0000_s38919"/>
                </a:ext>
                <a:ext uri="{FF2B5EF4-FFF2-40B4-BE49-F238E27FC236}">
                  <a16:creationId xmlns:a16="http://schemas.microsoft.com/office/drawing/2014/main" id="{00000000-0008-0000-0200-000007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1800225</xdr:colOff>
          <xdr:row>51</xdr:row>
          <xdr:rowOff>9525</xdr:rowOff>
        </xdr:to>
        <xdr:sp macro="" textlink="">
          <xdr:nvSpPr>
            <xdr:cNvPr id="38920" name="Drop Down 8" hidden="1">
              <a:extLst>
                <a:ext uri="{63B3BB69-23CF-44E3-9099-C40C66FF867C}">
                  <a14:compatExt spid="_x0000_s38920"/>
                </a:ext>
                <a:ext uri="{FF2B5EF4-FFF2-40B4-BE49-F238E27FC236}">
                  <a16:creationId xmlns:a16="http://schemas.microsoft.com/office/drawing/2014/main" id="{00000000-0008-0000-0200-000008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52</xdr:row>
          <xdr:rowOff>0</xdr:rowOff>
        </xdr:from>
        <xdr:to>
          <xdr:col>3</xdr:col>
          <xdr:colOff>1809750</xdr:colOff>
          <xdr:row>53</xdr:row>
          <xdr:rowOff>9525</xdr:rowOff>
        </xdr:to>
        <xdr:sp macro="" textlink="">
          <xdr:nvSpPr>
            <xdr:cNvPr id="38921" name="Drop Down 9" hidden="1">
              <a:extLst>
                <a:ext uri="{63B3BB69-23CF-44E3-9099-C40C66FF867C}">
                  <a14:compatExt spid="_x0000_s38921"/>
                </a:ext>
                <a:ext uri="{FF2B5EF4-FFF2-40B4-BE49-F238E27FC236}">
                  <a16:creationId xmlns:a16="http://schemas.microsoft.com/office/drawing/2014/main" id="{00000000-0008-0000-0200-000009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180975</xdr:rowOff>
        </xdr:from>
        <xdr:to>
          <xdr:col>3</xdr:col>
          <xdr:colOff>1800225</xdr:colOff>
          <xdr:row>55</xdr:row>
          <xdr:rowOff>0</xdr:rowOff>
        </xdr:to>
        <xdr:sp macro="" textlink="">
          <xdr:nvSpPr>
            <xdr:cNvPr id="38922" name="Drop Down 10" hidden="1">
              <a:extLst>
                <a:ext uri="{63B3BB69-23CF-44E3-9099-C40C66FF867C}">
                  <a14:compatExt spid="_x0000_s38922"/>
                </a:ext>
                <a:ext uri="{FF2B5EF4-FFF2-40B4-BE49-F238E27FC236}">
                  <a16:creationId xmlns:a16="http://schemas.microsoft.com/office/drawing/2014/main" id="{00000000-0008-0000-0200-00000A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1800225</xdr:colOff>
          <xdr:row>57</xdr:row>
          <xdr:rowOff>9525</xdr:rowOff>
        </xdr:to>
        <xdr:sp macro="" textlink="">
          <xdr:nvSpPr>
            <xdr:cNvPr id="38923" name="Drop Down 11" hidden="1">
              <a:extLst>
                <a:ext uri="{63B3BB69-23CF-44E3-9099-C40C66FF867C}">
                  <a14:compatExt spid="_x0000_s38923"/>
                </a:ext>
                <a:ext uri="{FF2B5EF4-FFF2-40B4-BE49-F238E27FC236}">
                  <a16:creationId xmlns:a16="http://schemas.microsoft.com/office/drawing/2014/main" id="{00000000-0008-0000-0200-00000B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3</xdr:col>
          <xdr:colOff>1800225</xdr:colOff>
          <xdr:row>31</xdr:row>
          <xdr:rowOff>200025</xdr:rowOff>
        </xdr:to>
        <xdr:sp macro="" textlink="">
          <xdr:nvSpPr>
            <xdr:cNvPr id="38925" name="Drop Down 13" hidden="1">
              <a:extLst>
                <a:ext uri="{63B3BB69-23CF-44E3-9099-C40C66FF867C}">
                  <a14:compatExt spid="_x0000_s38925"/>
                </a:ext>
                <a:ext uri="{FF2B5EF4-FFF2-40B4-BE49-F238E27FC236}">
                  <a16:creationId xmlns:a16="http://schemas.microsoft.com/office/drawing/2014/main" id="{00000000-0008-0000-0200-00000D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3</xdr:col>
          <xdr:colOff>1800225</xdr:colOff>
          <xdr:row>32</xdr:row>
          <xdr:rowOff>200025</xdr:rowOff>
        </xdr:to>
        <xdr:sp macro="" textlink="">
          <xdr:nvSpPr>
            <xdr:cNvPr id="38938" name="Drop Down 26" hidden="1">
              <a:extLst>
                <a:ext uri="{63B3BB69-23CF-44E3-9099-C40C66FF867C}">
                  <a14:compatExt spid="_x0000_s38938"/>
                </a:ext>
                <a:ext uri="{FF2B5EF4-FFF2-40B4-BE49-F238E27FC236}">
                  <a16:creationId xmlns:a16="http://schemas.microsoft.com/office/drawing/2014/main" id="{00000000-0008-0000-0200-00001A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1800225</xdr:colOff>
          <xdr:row>33</xdr:row>
          <xdr:rowOff>200025</xdr:rowOff>
        </xdr:to>
        <xdr:sp macro="" textlink="">
          <xdr:nvSpPr>
            <xdr:cNvPr id="38939" name="Drop Down 27" hidden="1">
              <a:extLst>
                <a:ext uri="{63B3BB69-23CF-44E3-9099-C40C66FF867C}">
                  <a14:compatExt spid="_x0000_s38939"/>
                </a:ext>
                <a:ext uri="{FF2B5EF4-FFF2-40B4-BE49-F238E27FC236}">
                  <a16:creationId xmlns:a16="http://schemas.microsoft.com/office/drawing/2014/main" id="{00000000-0008-0000-0200-00001B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219075</xdr:rowOff>
        </xdr:from>
        <xdr:to>
          <xdr:col>3</xdr:col>
          <xdr:colOff>1800225</xdr:colOff>
          <xdr:row>34</xdr:row>
          <xdr:rowOff>200025</xdr:rowOff>
        </xdr:to>
        <xdr:sp macro="" textlink="">
          <xdr:nvSpPr>
            <xdr:cNvPr id="38940" name="Drop Down 28" hidden="1">
              <a:extLst>
                <a:ext uri="{63B3BB69-23CF-44E3-9099-C40C66FF867C}">
                  <a14:compatExt spid="_x0000_s38940"/>
                </a:ext>
                <a:ext uri="{FF2B5EF4-FFF2-40B4-BE49-F238E27FC236}">
                  <a16:creationId xmlns:a16="http://schemas.microsoft.com/office/drawing/2014/main" id="{00000000-0008-0000-0200-00001C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219075</xdr:rowOff>
        </xdr:from>
        <xdr:to>
          <xdr:col>3</xdr:col>
          <xdr:colOff>1800225</xdr:colOff>
          <xdr:row>35</xdr:row>
          <xdr:rowOff>200025</xdr:rowOff>
        </xdr:to>
        <xdr:sp macro="" textlink="">
          <xdr:nvSpPr>
            <xdr:cNvPr id="38941" name="Drop Down 29" hidden="1">
              <a:extLst>
                <a:ext uri="{63B3BB69-23CF-44E3-9099-C40C66FF867C}">
                  <a14:compatExt spid="_x0000_s38941"/>
                </a:ext>
                <a:ext uri="{FF2B5EF4-FFF2-40B4-BE49-F238E27FC236}">
                  <a16:creationId xmlns:a16="http://schemas.microsoft.com/office/drawing/2014/main" id="{00000000-0008-0000-0200-00001D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219075</xdr:rowOff>
        </xdr:from>
        <xdr:to>
          <xdr:col>3</xdr:col>
          <xdr:colOff>1800225</xdr:colOff>
          <xdr:row>36</xdr:row>
          <xdr:rowOff>200025</xdr:rowOff>
        </xdr:to>
        <xdr:sp macro="" textlink="">
          <xdr:nvSpPr>
            <xdr:cNvPr id="38942" name="Drop Down 30" hidden="1">
              <a:extLst>
                <a:ext uri="{63B3BB69-23CF-44E3-9099-C40C66FF867C}">
                  <a14:compatExt spid="_x0000_s38942"/>
                </a:ext>
                <a:ext uri="{FF2B5EF4-FFF2-40B4-BE49-F238E27FC236}">
                  <a16:creationId xmlns:a16="http://schemas.microsoft.com/office/drawing/2014/main" id="{00000000-0008-0000-0200-00001E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219075</xdr:rowOff>
        </xdr:from>
        <xdr:to>
          <xdr:col>3</xdr:col>
          <xdr:colOff>1800225</xdr:colOff>
          <xdr:row>37</xdr:row>
          <xdr:rowOff>200025</xdr:rowOff>
        </xdr:to>
        <xdr:sp macro="" textlink="">
          <xdr:nvSpPr>
            <xdr:cNvPr id="38943" name="Drop Down 31" hidden="1">
              <a:extLst>
                <a:ext uri="{63B3BB69-23CF-44E3-9099-C40C66FF867C}">
                  <a14:compatExt spid="_x0000_s38943"/>
                </a:ext>
                <a:ext uri="{FF2B5EF4-FFF2-40B4-BE49-F238E27FC236}">
                  <a16:creationId xmlns:a16="http://schemas.microsoft.com/office/drawing/2014/main" id="{00000000-0008-0000-0200-00001F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3</xdr:col>
          <xdr:colOff>1800225</xdr:colOff>
          <xdr:row>38</xdr:row>
          <xdr:rowOff>200025</xdr:rowOff>
        </xdr:to>
        <xdr:sp macro="" textlink="">
          <xdr:nvSpPr>
            <xdr:cNvPr id="38944" name="Drop Down 32" hidden="1">
              <a:extLst>
                <a:ext uri="{63B3BB69-23CF-44E3-9099-C40C66FF867C}">
                  <a14:compatExt spid="_x0000_s38944"/>
                </a:ext>
                <a:ext uri="{FF2B5EF4-FFF2-40B4-BE49-F238E27FC236}">
                  <a16:creationId xmlns:a16="http://schemas.microsoft.com/office/drawing/2014/main" id="{00000000-0008-0000-0200-000020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9525</xdr:rowOff>
        </xdr:from>
        <xdr:to>
          <xdr:col>3</xdr:col>
          <xdr:colOff>1800225</xdr:colOff>
          <xdr:row>39</xdr:row>
          <xdr:rowOff>209550</xdr:rowOff>
        </xdr:to>
        <xdr:sp macro="" textlink="">
          <xdr:nvSpPr>
            <xdr:cNvPr id="38945" name="Drop Down 33" hidden="1">
              <a:extLst>
                <a:ext uri="{63B3BB69-23CF-44E3-9099-C40C66FF867C}">
                  <a14:compatExt spid="_x0000_s38945"/>
                </a:ext>
                <a:ext uri="{FF2B5EF4-FFF2-40B4-BE49-F238E27FC236}">
                  <a16:creationId xmlns:a16="http://schemas.microsoft.com/office/drawing/2014/main" id="{00000000-0008-0000-0200-000021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3</xdr:col>
          <xdr:colOff>1800225</xdr:colOff>
          <xdr:row>40</xdr:row>
          <xdr:rowOff>200025</xdr:rowOff>
        </xdr:to>
        <xdr:sp macro="" textlink="">
          <xdr:nvSpPr>
            <xdr:cNvPr id="38946" name="Drop Down 34" hidden="1">
              <a:extLst>
                <a:ext uri="{63B3BB69-23CF-44E3-9099-C40C66FF867C}">
                  <a14:compatExt spid="_x0000_s38946"/>
                </a:ext>
                <a:ext uri="{FF2B5EF4-FFF2-40B4-BE49-F238E27FC236}">
                  <a16:creationId xmlns:a16="http://schemas.microsoft.com/office/drawing/2014/main" id="{00000000-0008-0000-0200-000022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3</xdr:col>
          <xdr:colOff>1800225</xdr:colOff>
          <xdr:row>41</xdr:row>
          <xdr:rowOff>200025</xdr:rowOff>
        </xdr:to>
        <xdr:sp macro="" textlink="">
          <xdr:nvSpPr>
            <xdr:cNvPr id="38947" name="Drop Down 35" hidden="1">
              <a:extLst>
                <a:ext uri="{63B3BB69-23CF-44E3-9099-C40C66FF867C}">
                  <a14:compatExt spid="_x0000_s38947"/>
                </a:ext>
                <a:ext uri="{FF2B5EF4-FFF2-40B4-BE49-F238E27FC236}">
                  <a16:creationId xmlns:a16="http://schemas.microsoft.com/office/drawing/2014/main" id="{00000000-0008-0000-0200-000023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0</xdr:rowOff>
        </xdr:from>
        <xdr:to>
          <xdr:col>3</xdr:col>
          <xdr:colOff>1800225</xdr:colOff>
          <xdr:row>43</xdr:row>
          <xdr:rowOff>200025</xdr:rowOff>
        </xdr:to>
        <xdr:sp macro="" textlink="">
          <xdr:nvSpPr>
            <xdr:cNvPr id="38948" name="Drop Down 36" hidden="1">
              <a:extLst>
                <a:ext uri="{63B3BB69-23CF-44E3-9099-C40C66FF867C}">
                  <a14:compatExt spid="_x0000_s38948"/>
                </a:ext>
                <a:ext uri="{FF2B5EF4-FFF2-40B4-BE49-F238E27FC236}">
                  <a16:creationId xmlns:a16="http://schemas.microsoft.com/office/drawing/2014/main" id="{00000000-0008-0000-0200-000024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219075</xdr:rowOff>
        </xdr:from>
        <xdr:to>
          <xdr:col>3</xdr:col>
          <xdr:colOff>1800225</xdr:colOff>
          <xdr:row>42</xdr:row>
          <xdr:rowOff>200025</xdr:rowOff>
        </xdr:to>
        <xdr:sp macro="" textlink="">
          <xdr:nvSpPr>
            <xdr:cNvPr id="38949" name="Drop Down 37" hidden="1">
              <a:extLst>
                <a:ext uri="{63B3BB69-23CF-44E3-9099-C40C66FF867C}">
                  <a14:compatExt spid="_x0000_s38949"/>
                </a:ext>
                <a:ext uri="{FF2B5EF4-FFF2-40B4-BE49-F238E27FC236}">
                  <a16:creationId xmlns:a16="http://schemas.microsoft.com/office/drawing/2014/main" id="{00000000-0008-0000-0200-000025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3</xdr:col>
          <xdr:colOff>1800225</xdr:colOff>
          <xdr:row>44</xdr:row>
          <xdr:rowOff>209550</xdr:rowOff>
        </xdr:to>
        <xdr:sp macro="" textlink="">
          <xdr:nvSpPr>
            <xdr:cNvPr id="38950" name="Drop Down 38" hidden="1">
              <a:extLst>
                <a:ext uri="{63B3BB69-23CF-44E3-9099-C40C66FF867C}">
                  <a14:compatExt spid="_x0000_s38950"/>
                </a:ext>
                <a:ext uri="{FF2B5EF4-FFF2-40B4-BE49-F238E27FC236}">
                  <a16:creationId xmlns:a16="http://schemas.microsoft.com/office/drawing/2014/main" id="{00000000-0008-0000-0200-000026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3</xdr:col>
          <xdr:colOff>1800225</xdr:colOff>
          <xdr:row>45</xdr:row>
          <xdr:rowOff>209550</xdr:rowOff>
        </xdr:to>
        <xdr:sp macro="" textlink="">
          <xdr:nvSpPr>
            <xdr:cNvPr id="38951" name="Drop Down 39" hidden="1">
              <a:extLst>
                <a:ext uri="{63B3BB69-23CF-44E3-9099-C40C66FF867C}">
                  <a14:compatExt spid="_x0000_s38951"/>
                </a:ext>
                <a:ext uri="{FF2B5EF4-FFF2-40B4-BE49-F238E27FC236}">
                  <a16:creationId xmlns:a16="http://schemas.microsoft.com/office/drawing/2014/main" id="{00000000-0008-0000-0200-000027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0</xdr:rowOff>
        </xdr:from>
        <xdr:to>
          <xdr:col>3</xdr:col>
          <xdr:colOff>1800225</xdr:colOff>
          <xdr:row>46</xdr:row>
          <xdr:rowOff>200025</xdr:rowOff>
        </xdr:to>
        <xdr:sp macro="" textlink="">
          <xdr:nvSpPr>
            <xdr:cNvPr id="38952" name="Drop Down 40" hidden="1">
              <a:extLst>
                <a:ext uri="{63B3BB69-23CF-44E3-9099-C40C66FF867C}">
                  <a14:compatExt spid="_x0000_s38952"/>
                </a:ext>
                <a:ext uri="{FF2B5EF4-FFF2-40B4-BE49-F238E27FC236}">
                  <a16:creationId xmlns:a16="http://schemas.microsoft.com/office/drawing/2014/main" id="{00000000-0008-0000-0200-000028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3638550</xdr:colOff>
          <xdr:row>3</xdr:row>
          <xdr:rowOff>57150</xdr:rowOff>
        </xdr:from>
        <xdr:to>
          <xdr:col>3</xdr:col>
          <xdr:colOff>1800225</xdr:colOff>
          <xdr:row>4</xdr:row>
          <xdr:rowOff>66675</xdr:rowOff>
        </xdr:to>
        <xdr:sp macro="" textlink="">
          <xdr:nvSpPr>
            <xdr:cNvPr id="38954" name="Drop Down 42" hidden="1">
              <a:extLst>
                <a:ext uri="{63B3BB69-23CF-44E3-9099-C40C66FF867C}">
                  <a14:compatExt spid="_x0000_s38954"/>
                </a:ext>
                <a:ext uri="{FF2B5EF4-FFF2-40B4-BE49-F238E27FC236}">
                  <a16:creationId xmlns:a16="http://schemas.microsoft.com/office/drawing/2014/main" id="{00000000-0008-0000-0200-00002A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38100</xdr:rowOff>
        </xdr:from>
        <xdr:to>
          <xdr:col>3</xdr:col>
          <xdr:colOff>1809750</xdr:colOff>
          <xdr:row>28</xdr:row>
          <xdr:rowOff>47625</xdr:rowOff>
        </xdr:to>
        <xdr:sp macro="" textlink="">
          <xdr:nvSpPr>
            <xdr:cNvPr id="38956" name="Drop Down 44" hidden="1">
              <a:extLst>
                <a:ext uri="{63B3BB69-23CF-44E3-9099-C40C66FF867C}">
                  <a14:compatExt spid="_x0000_s38956"/>
                </a:ext>
                <a:ext uri="{FF2B5EF4-FFF2-40B4-BE49-F238E27FC236}">
                  <a16:creationId xmlns:a16="http://schemas.microsoft.com/office/drawing/2014/main" id="{00000000-0008-0000-0200-00002C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58</xdr:row>
          <xdr:rowOff>0</xdr:rowOff>
        </xdr:from>
        <xdr:to>
          <xdr:col>3</xdr:col>
          <xdr:colOff>1809750</xdr:colOff>
          <xdr:row>59</xdr:row>
          <xdr:rowOff>9525</xdr:rowOff>
        </xdr:to>
        <xdr:sp macro="" textlink="">
          <xdr:nvSpPr>
            <xdr:cNvPr id="38957" name="Drop Down 45" hidden="1">
              <a:extLst>
                <a:ext uri="{63B3BB69-23CF-44E3-9099-C40C66FF867C}">
                  <a14:compatExt spid="_x0000_s38957"/>
                </a:ext>
                <a:ext uri="{FF2B5EF4-FFF2-40B4-BE49-F238E27FC236}">
                  <a16:creationId xmlns:a16="http://schemas.microsoft.com/office/drawing/2014/main" id="{00000000-0008-0000-0200-00002D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xdr:row>
          <xdr:rowOff>38100</xdr:rowOff>
        </xdr:from>
        <xdr:to>
          <xdr:col>3</xdr:col>
          <xdr:colOff>1800225</xdr:colOff>
          <xdr:row>3</xdr:row>
          <xdr:rowOff>47625</xdr:rowOff>
        </xdr:to>
        <xdr:sp macro="" textlink="">
          <xdr:nvSpPr>
            <xdr:cNvPr id="33798" name="Drop Down 6" hidden="1">
              <a:extLst>
                <a:ext uri="{63B3BB69-23CF-44E3-9099-C40C66FF867C}">
                  <a14:compatExt spid="_x0000_s33798"/>
                </a:ext>
                <a:ext uri="{FF2B5EF4-FFF2-40B4-BE49-F238E27FC236}">
                  <a16:creationId xmlns:a16="http://schemas.microsoft.com/office/drawing/2014/main" id="{00000000-0008-0000-0300-000006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3638550</xdr:colOff>
          <xdr:row>8</xdr:row>
          <xdr:rowOff>57150</xdr:rowOff>
        </xdr:from>
        <xdr:to>
          <xdr:col>3</xdr:col>
          <xdr:colOff>1800225</xdr:colOff>
          <xdr:row>9</xdr:row>
          <xdr:rowOff>66675</xdr:rowOff>
        </xdr:to>
        <xdr:sp macro="" textlink="">
          <xdr:nvSpPr>
            <xdr:cNvPr id="33799" name="Drop Down 7" hidden="1">
              <a:extLst>
                <a:ext uri="{63B3BB69-23CF-44E3-9099-C40C66FF867C}">
                  <a14:compatExt spid="_x0000_s33799"/>
                </a:ext>
                <a:ext uri="{FF2B5EF4-FFF2-40B4-BE49-F238E27FC236}">
                  <a16:creationId xmlns:a16="http://schemas.microsoft.com/office/drawing/2014/main" id="{00000000-0008-0000-0300-000007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28575</xdr:rowOff>
        </xdr:from>
        <xdr:to>
          <xdr:col>3</xdr:col>
          <xdr:colOff>1800225</xdr:colOff>
          <xdr:row>14</xdr:row>
          <xdr:rowOff>38100</xdr:rowOff>
        </xdr:to>
        <xdr:sp macro="" textlink="">
          <xdr:nvSpPr>
            <xdr:cNvPr id="33800" name="Drop Down 8" hidden="1">
              <a:extLst>
                <a:ext uri="{63B3BB69-23CF-44E3-9099-C40C66FF867C}">
                  <a14:compatExt spid="_x0000_s33800"/>
                </a:ext>
                <a:ext uri="{FF2B5EF4-FFF2-40B4-BE49-F238E27FC236}">
                  <a16:creationId xmlns:a16="http://schemas.microsoft.com/office/drawing/2014/main" id="{00000000-0008-0000-0300-000008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38100</xdr:rowOff>
        </xdr:from>
        <xdr:to>
          <xdr:col>3</xdr:col>
          <xdr:colOff>1800225</xdr:colOff>
          <xdr:row>18</xdr:row>
          <xdr:rowOff>47625</xdr:rowOff>
        </xdr:to>
        <xdr:sp macro="" textlink="">
          <xdr:nvSpPr>
            <xdr:cNvPr id="33801" name="Drop Down 9" hidden="1">
              <a:extLst>
                <a:ext uri="{63B3BB69-23CF-44E3-9099-C40C66FF867C}">
                  <a14:compatExt spid="_x0000_s33801"/>
                </a:ext>
                <a:ext uri="{FF2B5EF4-FFF2-40B4-BE49-F238E27FC236}">
                  <a16:creationId xmlns:a16="http://schemas.microsoft.com/office/drawing/2014/main" id="{00000000-0008-0000-0300-000009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28575</xdr:rowOff>
        </xdr:from>
        <xdr:to>
          <xdr:col>3</xdr:col>
          <xdr:colOff>1800225</xdr:colOff>
          <xdr:row>22</xdr:row>
          <xdr:rowOff>38100</xdr:rowOff>
        </xdr:to>
        <xdr:sp macro="" textlink="">
          <xdr:nvSpPr>
            <xdr:cNvPr id="33802" name="Drop Down 10" hidden="1">
              <a:extLst>
                <a:ext uri="{63B3BB69-23CF-44E3-9099-C40C66FF867C}">
                  <a14:compatExt spid="_x0000_s33802"/>
                </a:ext>
                <a:ext uri="{FF2B5EF4-FFF2-40B4-BE49-F238E27FC236}">
                  <a16:creationId xmlns:a16="http://schemas.microsoft.com/office/drawing/2014/main" id="{00000000-0008-0000-0300-00000A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28575</xdr:rowOff>
        </xdr:from>
        <xdr:to>
          <xdr:col>3</xdr:col>
          <xdr:colOff>1800225</xdr:colOff>
          <xdr:row>26</xdr:row>
          <xdr:rowOff>38100</xdr:rowOff>
        </xdr:to>
        <xdr:sp macro="" textlink="">
          <xdr:nvSpPr>
            <xdr:cNvPr id="33803" name="Drop Down 11" hidden="1">
              <a:extLst>
                <a:ext uri="{63B3BB69-23CF-44E3-9099-C40C66FF867C}">
                  <a14:compatExt spid="_x0000_s33803"/>
                </a:ext>
                <a:ext uri="{FF2B5EF4-FFF2-40B4-BE49-F238E27FC236}">
                  <a16:creationId xmlns:a16="http://schemas.microsoft.com/office/drawing/2014/main" id="{00000000-0008-0000-0300-00000B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29</xdr:row>
          <xdr:rowOff>38100</xdr:rowOff>
        </xdr:from>
        <xdr:to>
          <xdr:col>3</xdr:col>
          <xdr:colOff>1781175</xdr:colOff>
          <xdr:row>30</xdr:row>
          <xdr:rowOff>47625</xdr:rowOff>
        </xdr:to>
        <xdr:sp macro="" textlink="">
          <xdr:nvSpPr>
            <xdr:cNvPr id="33805" name="Drop Down 13" hidden="1">
              <a:extLst>
                <a:ext uri="{63B3BB69-23CF-44E3-9099-C40C66FF867C}">
                  <a14:compatExt spid="_x0000_s33805"/>
                </a:ext>
                <a:ext uri="{FF2B5EF4-FFF2-40B4-BE49-F238E27FC236}">
                  <a16:creationId xmlns:a16="http://schemas.microsoft.com/office/drawing/2014/main" id="{00000000-0008-0000-0300-00000D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3</xdr:col>
          <xdr:colOff>1800225</xdr:colOff>
          <xdr:row>37</xdr:row>
          <xdr:rowOff>9525</xdr:rowOff>
        </xdr:to>
        <xdr:sp macro="" textlink="">
          <xdr:nvSpPr>
            <xdr:cNvPr id="33806" name="Drop Down 14" hidden="1">
              <a:extLst>
                <a:ext uri="{63B3BB69-23CF-44E3-9099-C40C66FF867C}">
                  <a14:compatExt spid="_x0000_s33806"/>
                </a:ext>
                <a:ext uri="{FF2B5EF4-FFF2-40B4-BE49-F238E27FC236}">
                  <a16:creationId xmlns:a16="http://schemas.microsoft.com/office/drawing/2014/main" id="{00000000-0008-0000-0300-00000E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38</xdr:row>
          <xdr:rowOff>0</xdr:rowOff>
        </xdr:from>
        <xdr:to>
          <xdr:col>3</xdr:col>
          <xdr:colOff>1809750</xdr:colOff>
          <xdr:row>39</xdr:row>
          <xdr:rowOff>9525</xdr:rowOff>
        </xdr:to>
        <xdr:sp macro="" textlink="">
          <xdr:nvSpPr>
            <xdr:cNvPr id="33807" name="Drop Down 15" hidden="1">
              <a:extLst>
                <a:ext uri="{63B3BB69-23CF-44E3-9099-C40C66FF867C}">
                  <a14:compatExt spid="_x0000_s33807"/>
                </a:ext>
                <a:ext uri="{FF2B5EF4-FFF2-40B4-BE49-F238E27FC236}">
                  <a16:creationId xmlns:a16="http://schemas.microsoft.com/office/drawing/2014/main" id="{00000000-0008-0000-0300-00000F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180975</xdr:rowOff>
        </xdr:from>
        <xdr:to>
          <xdr:col>3</xdr:col>
          <xdr:colOff>1800225</xdr:colOff>
          <xdr:row>41</xdr:row>
          <xdr:rowOff>0</xdr:rowOff>
        </xdr:to>
        <xdr:sp macro="" textlink="">
          <xdr:nvSpPr>
            <xdr:cNvPr id="33808" name="Drop Down 16" hidden="1">
              <a:extLst>
                <a:ext uri="{63B3BB69-23CF-44E3-9099-C40C66FF867C}">
                  <a14:compatExt spid="_x0000_s33808"/>
                </a:ext>
                <a:ext uri="{FF2B5EF4-FFF2-40B4-BE49-F238E27FC236}">
                  <a16:creationId xmlns:a16="http://schemas.microsoft.com/office/drawing/2014/main" id="{00000000-0008-0000-0300-000010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3</xdr:col>
          <xdr:colOff>1800225</xdr:colOff>
          <xdr:row>43</xdr:row>
          <xdr:rowOff>9525</xdr:rowOff>
        </xdr:to>
        <xdr:sp macro="" textlink="">
          <xdr:nvSpPr>
            <xdr:cNvPr id="33809" name="Drop Down 17" hidden="1">
              <a:extLst>
                <a:ext uri="{63B3BB69-23CF-44E3-9099-C40C66FF867C}">
                  <a14:compatExt spid="_x0000_s33809"/>
                </a:ext>
                <a:ext uri="{FF2B5EF4-FFF2-40B4-BE49-F238E27FC236}">
                  <a16:creationId xmlns:a16="http://schemas.microsoft.com/office/drawing/2014/main" id="{00000000-0008-0000-0300-000011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38100</xdr:rowOff>
        </xdr:from>
        <xdr:to>
          <xdr:col>3</xdr:col>
          <xdr:colOff>1809750</xdr:colOff>
          <xdr:row>33</xdr:row>
          <xdr:rowOff>47625</xdr:rowOff>
        </xdr:to>
        <xdr:sp macro="" textlink="">
          <xdr:nvSpPr>
            <xdr:cNvPr id="33813" name="Drop Down 21" hidden="1">
              <a:extLst>
                <a:ext uri="{63B3BB69-23CF-44E3-9099-C40C66FF867C}">
                  <a14:compatExt spid="_x0000_s33813"/>
                </a:ext>
                <a:ext uri="{FF2B5EF4-FFF2-40B4-BE49-F238E27FC236}">
                  <a16:creationId xmlns:a16="http://schemas.microsoft.com/office/drawing/2014/main" id="{00000000-0008-0000-0300-000015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44</xdr:row>
          <xdr:rowOff>0</xdr:rowOff>
        </xdr:from>
        <xdr:to>
          <xdr:col>3</xdr:col>
          <xdr:colOff>1809750</xdr:colOff>
          <xdr:row>45</xdr:row>
          <xdr:rowOff>9525</xdr:rowOff>
        </xdr:to>
        <xdr:sp macro="" textlink="">
          <xdr:nvSpPr>
            <xdr:cNvPr id="33814" name="Drop Down 22" hidden="1">
              <a:extLst>
                <a:ext uri="{63B3BB69-23CF-44E3-9099-C40C66FF867C}">
                  <a14:compatExt spid="_x0000_s33814"/>
                </a:ext>
                <a:ext uri="{FF2B5EF4-FFF2-40B4-BE49-F238E27FC236}">
                  <a16:creationId xmlns:a16="http://schemas.microsoft.com/office/drawing/2014/main" id="{00000000-0008-0000-0300-000016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3638550</xdr:colOff>
          <xdr:row>3</xdr:row>
          <xdr:rowOff>57150</xdr:rowOff>
        </xdr:from>
        <xdr:to>
          <xdr:col>3</xdr:col>
          <xdr:colOff>1800225</xdr:colOff>
          <xdr:row>4</xdr:row>
          <xdr:rowOff>66675</xdr:rowOff>
        </xdr:to>
        <xdr:sp macro="" textlink="">
          <xdr:nvSpPr>
            <xdr:cNvPr id="66561" name="Drop Down 1" hidden="1">
              <a:extLst>
                <a:ext uri="{63B3BB69-23CF-44E3-9099-C40C66FF867C}">
                  <a14:compatExt spid="_x0000_s66561"/>
                </a:ext>
                <a:ext uri="{FF2B5EF4-FFF2-40B4-BE49-F238E27FC236}">
                  <a16:creationId xmlns:a16="http://schemas.microsoft.com/office/drawing/2014/main" id="{00000000-0008-0000-0400-000001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28575</xdr:rowOff>
        </xdr:from>
        <xdr:to>
          <xdr:col>3</xdr:col>
          <xdr:colOff>1800225</xdr:colOff>
          <xdr:row>9</xdr:row>
          <xdr:rowOff>38100</xdr:rowOff>
        </xdr:to>
        <xdr:sp macro="" textlink="">
          <xdr:nvSpPr>
            <xdr:cNvPr id="66562" name="Drop Down 2" hidden="1">
              <a:extLst>
                <a:ext uri="{63B3BB69-23CF-44E3-9099-C40C66FF867C}">
                  <a14:compatExt spid="_x0000_s66562"/>
                </a:ext>
                <a:ext uri="{FF2B5EF4-FFF2-40B4-BE49-F238E27FC236}">
                  <a16:creationId xmlns:a16="http://schemas.microsoft.com/office/drawing/2014/main" id="{00000000-0008-0000-0400-000002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38100</xdr:rowOff>
        </xdr:from>
        <xdr:to>
          <xdr:col>3</xdr:col>
          <xdr:colOff>1800225</xdr:colOff>
          <xdr:row>13</xdr:row>
          <xdr:rowOff>47625</xdr:rowOff>
        </xdr:to>
        <xdr:sp macro="" textlink="">
          <xdr:nvSpPr>
            <xdr:cNvPr id="66563" name="Drop Down 3" hidden="1">
              <a:extLst>
                <a:ext uri="{63B3BB69-23CF-44E3-9099-C40C66FF867C}">
                  <a14:compatExt spid="_x0000_s66563"/>
                </a:ext>
                <a:ext uri="{FF2B5EF4-FFF2-40B4-BE49-F238E27FC236}">
                  <a16:creationId xmlns:a16="http://schemas.microsoft.com/office/drawing/2014/main" id="{00000000-0008-0000-0400-000003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28575</xdr:rowOff>
        </xdr:from>
        <xdr:to>
          <xdr:col>3</xdr:col>
          <xdr:colOff>1800225</xdr:colOff>
          <xdr:row>17</xdr:row>
          <xdr:rowOff>38100</xdr:rowOff>
        </xdr:to>
        <xdr:sp macro="" textlink="">
          <xdr:nvSpPr>
            <xdr:cNvPr id="66564" name="Drop Down 4" hidden="1">
              <a:extLst>
                <a:ext uri="{63B3BB69-23CF-44E3-9099-C40C66FF867C}">
                  <a14:compatExt spid="_x0000_s66564"/>
                </a:ext>
                <a:ext uri="{FF2B5EF4-FFF2-40B4-BE49-F238E27FC236}">
                  <a16:creationId xmlns:a16="http://schemas.microsoft.com/office/drawing/2014/main" id="{00000000-0008-0000-0400-000004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28575</xdr:rowOff>
        </xdr:from>
        <xdr:to>
          <xdr:col>3</xdr:col>
          <xdr:colOff>1800225</xdr:colOff>
          <xdr:row>21</xdr:row>
          <xdr:rowOff>38100</xdr:rowOff>
        </xdr:to>
        <xdr:sp macro="" textlink="">
          <xdr:nvSpPr>
            <xdr:cNvPr id="66565" name="Drop Down 5" hidden="1">
              <a:extLst>
                <a:ext uri="{63B3BB69-23CF-44E3-9099-C40C66FF867C}">
                  <a14:compatExt spid="_x0000_s66565"/>
                </a:ext>
                <a:ext uri="{FF2B5EF4-FFF2-40B4-BE49-F238E27FC236}">
                  <a16:creationId xmlns:a16="http://schemas.microsoft.com/office/drawing/2014/main" id="{00000000-0008-0000-0400-000005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24</xdr:row>
          <xdr:rowOff>38100</xdr:rowOff>
        </xdr:from>
        <xdr:to>
          <xdr:col>3</xdr:col>
          <xdr:colOff>1781175</xdr:colOff>
          <xdr:row>25</xdr:row>
          <xdr:rowOff>47625</xdr:rowOff>
        </xdr:to>
        <xdr:sp macro="" textlink="">
          <xdr:nvSpPr>
            <xdr:cNvPr id="66566" name="Drop Down 6" hidden="1">
              <a:extLst>
                <a:ext uri="{63B3BB69-23CF-44E3-9099-C40C66FF867C}">
                  <a14:compatExt spid="_x0000_s66566"/>
                </a:ext>
                <a:ext uri="{FF2B5EF4-FFF2-40B4-BE49-F238E27FC236}">
                  <a16:creationId xmlns:a16="http://schemas.microsoft.com/office/drawing/2014/main" id="{00000000-0008-0000-0400-000006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1800225</xdr:colOff>
          <xdr:row>51</xdr:row>
          <xdr:rowOff>9525</xdr:rowOff>
        </xdr:to>
        <xdr:sp macro="" textlink="">
          <xdr:nvSpPr>
            <xdr:cNvPr id="66567" name="Drop Down 7" hidden="1">
              <a:extLst>
                <a:ext uri="{63B3BB69-23CF-44E3-9099-C40C66FF867C}">
                  <a14:compatExt spid="_x0000_s66567"/>
                </a:ext>
                <a:ext uri="{FF2B5EF4-FFF2-40B4-BE49-F238E27FC236}">
                  <a16:creationId xmlns:a16="http://schemas.microsoft.com/office/drawing/2014/main" id="{00000000-0008-0000-0400-000007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52</xdr:row>
          <xdr:rowOff>0</xdr:rowOff>
        </xdr:from>
        <xdr:to>
          <xdr:col>3</xdr:col>
          <xdr:colOff>1809750</xdr:colOff>
          <xdr:row>53</xdr:row>
          <xdr:rowOff>9525</xdr:rowOff>
        </xdr:to>
        <xdr:sp macro="" textlink="">
          <xdr:nvSpPr>
            <xdr:cNvPr id="66568" name="Drop Down 8" hidden="1">
              <a:extLst>
                <a:ext uri="{63B3BB69-23CF-44E3-9099-C40C66FF867C}">
                  <a14:compatExt spid="_x0000_s66568"/>
                </a:ext>
                <a:ext uri="{FF2B5EF4-FFF2-40B4-BE49-F238E27FC236}">
                  <a16:creationId xmlns:a16="http://schemas.microsoft.com/office/drawing/2014/main" id="{00000000-0008-0000-0400-000008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180975</xdr:rowOff>
        </xdr:from>
        <xdr:to>
          <xdr:col>3</xdr:col>
          <xdr:colOff>1800225</xdr:colOff>
          <xdr:row>55</xdr:row>
          <xdr:rowOff>0</xdr:rowOff>
        </xdr:to>
        <xdr:sp macro="" textlink="">
          <xdr:nvSpPr>
            <xdr:cNvPr id="66569" name="Drop Down 9" hidden="1">
              <a:extLst>
                <a:ext uri="{63B3BB69-23CF-44E3-9099-C40C66FF867C}">
                  <a14:compatExt spid="_x0000_s66569"/>
                </a:ext>
                <a:ext uri="{FF2B5EF4-FFF2-40B4-BE49-F238E27FC236}">
                  <a16:creationId xmlns:a16="http://schemas.microsoft.com/office/drawing/2014/main" id="{00000000-0008-0000-0400-000009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1800225</xdr:colOff>
          <xdr:row>57</xdr:row>
          <xdr:rowOff>9525</xdr:rowOff>
        </xdr:to>
        <xdr:sp macro="" textlink="">
          <xdr:nvSpPr>
            <xdr:cNvPr id="66570" name="Drop Down 10" hidden="1">
              <a:extLst>
                <a:ext uri="{63B3BB69-23CF-44E3-9099-C40C66FF867C}">
                  <a14:compatExt spid="_x0000_s66570"/>
                </a:ext>
                <a:ext uri="{FF2B5EF4-FFF2-40B4-BE49-F238E27FC236}">
                  <a16:creationId xmlns:a16="http://schemas.microsoft.com/office/drawing/2014/main" id="{00000000-0008-0000-0400-00000A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3</xdr:col>
          <xdr:colOff>1800225</xdr:colOff>
          <xdr:row>31</xdr:row>
          <xdr:rowOff>200025</xdr:rowOff>
        </xdr:to>
        <xdr:sp macro="" textlink="">
          <xdr:nvSpPr>
            <xdr:cNvPr id="66571" name="Drop Down 11" hidden="1">
              <a:extLst>
                <a:ext uri="{63B3BB69-23CF-44E3-9099-C40C66FF867C}">
                  <a14:compatExt spid="_x0000_s66571"/>
                </a:ext>
                <a:ext uri="{FF2B5EF4-FFF2-40B4-BE49-F238E27FC236}">
                  <a16:creationId xmlns:a16="http://schemas.microsoft.com/office/drawing/2014/main" id="{00000000-0008-0000-0400-00000B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3</xdr:col>
          <xdr:colOff>1800225</xdr:colOff>
          <xdr:row>32</xdr:row>
          <xdr:rowOff>200025</xdr:rowOff>
        </xdr:to>
        <xdr:sp macro="" textlink="">
          <xdr:nvSpPr>
            <xdr:cNvPr id="66572" name="Drop Down 12" hidden="1">
              <a:extLst>
                <a:ext uri="{63B3BB69-23CF-44E3-9099-C40C66FF867C}">
                  <a14:compatExt spid="_x0000_s66572"/>
                </a:ext>
                <a:ext uri="{FF2B5EF4-FFF2-40B4-BE49-F238E27FC236}">
                  <a16:creationId xmlns:a16="http://schemas.microsoft.com/office/drawing/2014/main" id="{00000000-0008-0000-0400-00000C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1800225</xdr:colOff>
          <xdr:row>33</xdr:row>
          <xdr:rowOff>200025</xdr:rowOff>
        </xdr:to>
        <xdr:sp macro="" textlink="">
          <xdr:nvSpPr>
            <xdr:cNvPr id="66573" name="Drop Down 13" hidden="1">
              <a:extLst>
                <a:ext uri="{63B3BB69-23CF-44E3-9099-C40C66FF867C}">
                  <a14:compatExt spid="_x0000_s66573"/>
                </a:ext>
                <a:ext uri="{FF2B5EF4-FFF2-40B4-BE49-F238E27FC236}">
                  <a16:creationId xmlns:a16="http://schemas.microsoft.com/office/drawing/2014/main" id="{00000000-0008-0000-0400-00000D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219075</xdr:rowOff>
        </xdr:from>
        <xdr:to>
          <xdr:col>3</xdr:col>
          <xdr:colOff>1800225</xdr:colOff>
          <xdr:row>34</xdr:row>
          <xdr:rowOff>200025</xdr:rowOff>
        </xdr:to>
        <xdr:sp macro="" textlink="">
          <xdr:nvSpPr>
            <xdr:cNvPr id="66574" name="Drop Down 14" hidden="1">
              <a:extLst>
                <a:ext uri="{63B3BB69-23CF-44E3-9099-C40C66FF867C}">
                  <a14:compatExt spid="_x0000_s66574"/>
                </a:ext>
                <a:ext uri="{FF2B5EF4-FFF2-40B4-BE49-F238E27FC236}">
                  <a16:creationId xmlns:a16="http://schemas.microsoft.com/office/drawing/2014/main" id="{00000000-0008-0000-0400-00000E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219075</xdr:rowOff>
        </xdr:from>
        <xdr:to>
          <xdr:col>3</xdr:col>
          <xdr:colOff>1800225</xdr:colOff>
          <xdr:row>35</xdr:row>
          <xdr:rowOff>200025</xdr:rowOff>
        </xdr:to>
        <xdr:sp macro="" textlink="">
          <xdr:nvSpPr>
            <xdr:cNvPr id="66575" name="Drop Down 15" hidden="1">
              <a:extLst>
                <a:ext uri="{63B3BB69-23CF-44E3-9099-C40C66FF867C}">
                  <a14:compatExt spid="_x0000_s66575"/>
                </a:ext>
                <a:ext uri="{FF2B5EF4-FFF2-40B4-BE49-F238E27FC236}">
                  <a16:creationId xmlns:a16="http://schemas.microsoft.com/office/drawing/2014/main" id="{00000000-0008-0000-0400-00000F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219075</xdr:rowOff>
        </xdr:from>
        <xdr:to>
          <xdr:col>3</xdr:col>
          <xdr:colOff>1800225</xdr:colOff>
          <xdr:row>36</xdr:row>
          <xdr:rowOff>200025</xdr:rowOff>
        </xdr:to>
        <xdr:sp macro="" textlink="">
          <xdr:nvSpPr>
            <xdr:cNvPr id="66576" name="Drop Down 16" hidden="1">
              <a:extLst>
                <a:ext uri="{63B3BB69-23CF-44E3-9099-C40C66FF867C}">
                  <a14:compatExt spid="_x0000_s66576"/>
                </a:ext>
                <a:ext uri="{FF2B5EF4-FFF2-40B4-BE49-F238E27FC236}">
                  <a16:creationId xmlns:a16="http://schemas.microsoft.com/office/drawing/2014/main" id="{00000000-0008-0000-0400-000010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219075</xdr:rowOff>
        </xdr:from>
        <xdr:to>
          <xdr:col>3</xdr:col>
          <xdr:colOff>1800225</xdr:colOff>
          <xdr:row>37</xdr:row>
          <xdr:rowOff>200025</xdr:rowOff>
        </xdr:to>
        <xdr:sp macro="" textlink="">
          <xdr:nvSpPr>
            <xdr:cNvPr id="66577" name="Drop Down 17" hidden="1">
              <a:extLst>
                <a:ext uri="{63B3BB69-23CF-44E3-9099-C40C66FF867C}">
                  <a14:compatExt spid="_x0000_s66577"/>
                </a:ext>
                <a:ext uri="{FF2B5EF4-FFF2-40B4-BE49-F238E27FC236}">
                  <a16:creationId xmlns:a16="http://schemas.microsoft.com/office/drawing/2014/main" id="{00000000-0008-0000-0400-000011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3</xdr:col>
          <xdr:colOff>1800225</xdr:colOff>
          <xdr:row>38</xdr:row>
          <xdr:rowOff>200025</xdr:rowOff>
        </xdr:to>
        <xdr:sp macro="" textlink="">
          <xdr:nvSpPr>
            <xdr:cNvPr id="66578" name="Drop Down 18" hidden="1">
              <a:extLst>
                <a:ext uri="{63B3BB69-23CF-44E3-9099-C40C66FF867C}">
                  <a14:compatExt spid="_x0000_s66578"/>
                </a:ext>
                <a:ext uri="{FF2B5EF4-FFF2-40B4-BE49-F238E27FC236}">
                  <a16:creationId xmlns:a16="http://schemas.microsoft.com/office/drawing/2014/main" id="{00000000-0008-0000-0400-000012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9525</xdr:rowOff>
        </xdr:from>
        <xdr:to>
          <xdr:col>3</xdr:col>
          <xdr:colOff>1800225</xdr:colOff>
          <xdr:row>39</xdr:row>
          <xdr:rowOff>209550</xdr:rowOff>
        </xdr:to>
        <xdr:sp macro="" textlink="">
          <xdr:nvSpPr>
            <xdr:cNvPr id="66579" name="Drop Down 19" hidden="1">
              <a:extLst>
                <a:ext uri="{63B3BB69-23CF-44E3-9099-C40C66FF867C}">
                  <a14:compatExt spid="_x0000_s66579"/>
                </a:ext>
                <a:ext uri="{FF2B5EF4-FFF2-40B4-BE49-F238E27FC236}">
                  <a16:creationId xmlns:a16="http://schemas.microsoft.com/office/drawing/2014/main" id="{00000000-0008-0000-0400-000013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3</xdr:col>
          <xdr:colOff>1800225</xdr:colOff>
          <xdr:row>40</xdr:row>
          <xdr:rowOff>200025</xdr:rowOff>
        </xdr:to>
        <xdr:sp macro="" textlink="">
          <xdr:nvSpPr>
            <xdr:cNvPr id="66580" name="Drop Down 20" hidden="1">
              <a:extLst>
                <a:ext uri="{63B3BB69-23CF-44E3-9099-C40C66FF867C}">
                  <a14:compatExt spid="_x0000_s66580"/>
                </a:ext>
                <a:ext uri="{FF2B5EF4-FFF2-40B4-BE49-F238E27FC236}">
                  <a16:creationId xmlns:a16="http://schemas.microsoft.com/office/drawing/2014/main" id="{00000000-0008-0000-0400-000014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3</xdr:col>
          <xdr:colOff>1800225</xdr:colOff>
          <xdr:row>41</xdr:row>
          <xdr:rowOff>200025</xdr:rowOff>
        </xdr:to>
        <xdr:sp macro="" textlink="">
          <xdr:nvSpPr>
            <xdr:cNvPr id="66581" name="Drop Down 21" hidden="1">
              <a:extLst>
                <a:ext uri="{63B3BB69-23CF-44E3-9099-C40C66FF867C}">
                  <a14:compatExt spid="_x0000_s66581"/>
                </a:ext>
                <a:ext uri="{FF2B5EF4-FFF2-40B4-BE49-F238E27FC236}">
                  <a16:creationId xmlns:a16="http://schemas.microsoft.com/office/drawing/2014/main" id="{00000000-0008-0000-0400-000015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0</xdr:rowOff>
        </xdr:from>
        <xdr:to>
          <xdr:col>3</xdr:col>
          <xdr:colOff>1800225</xdr:colOff>
          <xdr:row>43</xdr:row>
          <xdr:rowOff>200025</xdr:rowOff>
        </xdr:to>
        <xdr:sp macro="" textlink="">
          <xdr:nvSpPr>
            <xdr:cNvPr id="66582" name="Drop Down 22" hidden="1">
              <a:extLst>
                <a:ext uri="{63B3BB69-23CF-44E3-9099-C40C66FF867C}">
                  <a14:compatExt spid="_x0000_s66582"/>
                </a:ext>
                <a:ext uri="{FF2B5EF4-FFF2-40B4-BE49-F238E27FC236}">
                  <a16:creationId xmlns:a16="http://schemas.microsoft.com/office/drawing/2014/main" id="{00000000-0008-0000-0400-000016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219075</xdr:rowOff>
        </xdr:from>
        <xdr:to>
          <xdr:col>3</xdr:col>
          <xdr:colOff>1800225</xdr:colOff>
          <xdr:row>42</xdr:row>
          <xdr:rowOff>200025</xdr:rowOff>
        </xdr:to>
        <xdr:sp macro="" textlink="">
          <xdr:nvSpPr>
            <xdr:cNvPr id="66583" name="Drop Down 23" hidden="1">
              <a:extLst>
                <a:ext uri="{63B3BB69-23CF-44E3-9099-C40C66FF867C}">
                  <a14:compatExt spid="_x0000_s66583"/>
                </a:ext>
                <a:ext uri="{FF2B5EF4-FFF2-40B4-BE49-F238E27FC236}">
                  <a16:creationId xmlns:a16="http://schemas.microsoft.com/office/drawing/2014/main" id="{00000000-0008-0000-0400-000017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3</xdr:col>
          <xdr:colOff>1800225</xdr:colOff>
          <xdr:row>44</xdr:row>
          <xdr:rowOff>209550</xdr:rowOff>
        </xdr:to>
        <xdr:sp macro="" textlink="">
          <xdr:nvSpPr>
            <xdr:cNvPr id="66584" name="Drop Down 24" hidden="1">
              <a:extLst>
                <a:ext uri="{63B3BB69-23CF-44E3-9099-C40C66FF867C}">
                  <a14:compatExt spid="_x0000_s66584"/>
                </a:ext>
                <a:ext uri="{FF2B5EF4-FFF2-40B4-BE49-F238E27FC236}">
                  <a16:creationId xmlns:a16="http://schemas.microsoft.com/office/drawing/2014/main" id="{00000000-0008-0000-0400-000018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3</xdr:col>
          <xdr:colOff>1800225</xdr:colOff>
          <xdr:row>45</xdr:row>
          <xdr:rowOff>209550</xdr:rowOff>
        </xdr:to>
        <xdr:sp macro="" textlink="">
          <xdr:nvSpPr>
            <xdr:cNvPr id="66585" name="Drop Down 25" hidden="1">
              <a:extLst>
                <a:ext uri="{63B3BB69-23CF-44E3-9099-C40C66FF867C}">
                  <a14:compatExt spid="_x0000_s66585"/>
                </a:ext>
                <a:ext uri="{FF2B5EF4-FFF2-40B4-BE49-F238E27FC236}">
                  <a16:creationId xmlns:a16="http://schemas.microsoft.com/office/drawing/2014/main" id="{00000000-0008-0000-0400-000019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0</xdr:rowOff>
        </xdr:from>
        <xdr:to>
          <xdr:col>3</xdr:col>
          <xdr:colOff>1800225</xdr:colOff>
          <xdr:row>46</xdr:row>
          <xdr:rowOff>200025</xdr:rowOff>
        </xdr:to>
        <xdr:sp macro="" textlink="">
          <xdr:nvSpPr>
            <xdr:cNvPr id="66586" name="Drop Down 26" hidden="1">
              <a:extLst>
                <a:ext uri="{63B3BB69-23CF-44E3-9099-C40C66FF867C}">
                  <a14:compatExt spid="_x0000_s66586"/>
                </a:ext>
                <a:ext uri="{FF2B5EF4-FFF2-40B4-BE49-F238E27FC236}">
                  <a16:creationId xmlns:a16="http://schemas.microsoft.com/office/drawing/2014/main" id="{00000000-0008-0000-0400-00001A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38100</xdr:rowOff>
        </xdr:from>
        <xdr:to>
          <xdr:col>3</xdr:col>
          <xdr:colOff>1809750</xdr:colOff>
          <xdr:row>28</xdr:row>
          <xdr:rowOff>47625</xdr:rowOff>
        </xdr:to>
        <xdr:sp macro="" textlink="">
          <xdr:nvSpPr>
            <xdr:cNvPr id="66588" name="Drop Down 28" hidden="1">
              <a:extLst>
                <a:ext uri="{63B3BB69-23CF-44E3-9099-C40C66FF867C}">
                  <a14:compatExt spid="_x0000_s66588"/>
                </a:ext>
                <a:ext uri="{FF2B5EF4-FFF2-40B4-BE49-F238E27FC236}">
                  <a16:creationId xmlns:a16="http://schemas.microsoft.com/office/drawing/2014/main" id="{00000000-0008-0000-0400-00001C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58</xdr:row>
          <xdr:rowOff>0</xdr:rowOff>
        </xdr:from>
        <xdr:to>
          <xdr:col>3</xdr:col>
          <xdr:colOff>1809750</xdr:colOff>
          <xdr:row>59</xdr:row>
          <xdr:rowOff>9525</xdr:rowOff>
        </xdr:to>
        <xdr:sp macro="" textlink="">
          <xdr:nvSpPr>
            <xdr:cNvPr id="66589" name="Drop Down 29" hidden="1">
              <a:extLst>
                <a:ext uri="{63B3BB69-23CF-44E3-9099-C40C66FF867C}">
                  <a14:compatExt spid="_x0000_s66589"/>
                </a:ext>
                <a:ext uri="{FF2B5EF4-FFF2-40B4-BE49-F238E27FC236}">
                  <a16:creationId xmlns:a16="http://schemas.microsoft.com/office/drawing/2014/main" id="{00000000-0008-0000-0400-00001D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xdr:row>
          <xdr:rowOff>38100</xdr:rowOff>
        </xdr:from>
        <xdr:to>
          <xdr:col>3</xdr:col>
          <xdr:colOff>1800225</xdr:colOff>
          <xdr:row>3</xdr:row>
          <xdr:rowOff>47625</xdr:rowOff>
        </xdr:to>
        <xdr:sp macro="" textlink="">
          <xdr:nvSpPr>
            <xdr:cNvPr id="69633" name="Drop Down 1" hidden="1">
              <a:extLst>
                <a:ext uri="{63B3BB69-23CF-44E3-9099-C40C66FF867C}">
                  <a14:compatExt spid="_x0000_s69633"/>
                </a:ext>
                <a:ext uri="{FF2B5EF4-FFF2-40B4-BE49-F238E27FC236}">
                  <a16:creationId xmlns:a16="http://schemas.microsoft.com/office/drawing/2014/main" id="{00000000-0008-0000-0500-000001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3638550</xdr:colOff>
          <xdr:row>8</xdr:row>
          <xdr:rowOff>57150</xdr:rowOff>
        </xdr:from>
        <xdr:to>
          <xdr:col>3</xdr:col>
          <xdr:colOff>1800225</xdr:colOff>
          <xdr:row>9</xdr:row>
          <xdr:rowOff>66675</xdr:rowOff>
        </xdr:to>
        <xdr:sp macro="" textlink="">
          <xdr:nvSpPr>
            <xdr:cNvPr id="69634" name="Drop Down 2" hidden="1">
              <a:extLst>
                <a:ext uri="{63B3BB69-23CF-44E3-9099-C40C66FF867C}">
                  <a14:compatExt spid="_x0000_s69634"/>
                </a:ext>
                <a:ext uri="{FF2B5EF4-FFF2-40B4-BE49-F238E27FC236}">
                  <a16:creationId xmlns:a16="http://schemas.microsoft.com/office/drawing/2014/main" id="{00000000-0008-0000-0500-000002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28575</xdr:rowOff>
        </xdr:from>
        <xdr:to>
          <xdr:col>3</xdr:col>
          <xdr:colOff>1800225</xdr:colOff>
          <xdr:row>14</xdr:row>
          <xdr:rowOff>38100</xdr:rowOff>
        </xdr:to>
        <xdr:sp macro="" textlink="">
          <xdr:nvSpPr>
            <xdr:cNvPr id="69635" name="Drop Down 3" hidden="1">
              <a:extLst>
                <a:ext uri="{63B3BB69-23CF-44E3-9099-C40C66FF867C}">
                  <a14:compatExt spid="_x0000_s69635"/>
                </a:ext>
                <a:ext uri="{FF2B5EF4-FFF2-40B4-BE49-F238E27FC236}">
                  <a16:creationId xmlns:a16="http://schemas.microsoft.com/office/drawing/2014/main" id="{00000000-0008-0000-0500-000003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38100</xdr:rowOff>
        </xdr:from>
        <xdr:to>
          <xdr:col>3</xdr:col>
          <xdr:colOff>1800225</xdr:colOff>
          <xdr:row>18</xdr:row>
          <xdr:rowOff>47625</xdr:rowOff>
        </xdr:to>
        <xdr:sp macro="" textlink="">
          <xdr:nvSpPr>
            <xdr:cNvPr id="69636" name="Drop Down 4" hidden="1">
              <a:extLst>
                <a:ext uri="{63B3BB69-23CF-44E3-9099-C40C66FF867C}">
                  <a14:compatExt spid="_x0000_s69636"/>
                </a:ext>
                <a:ext uri="{FF2B5EF4-FFF2-40B4-BE49-F238E27FC236}">
                  <a16:creationId xmlns:a16="http://schemas.microsoft.com/office/drawing/2014/main" id="{00000000-0008-0000-0500-000004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28575</xdr:rowOff>
        </xdr:from>
        <xdr:to>
          <xdr:col>3</xdr:col>
          <xdr:colOff>1800225</xdr:colOff>
          <xdr:row>22</xdr:row>
          <xdr:rowOff>38100</xdr:rowOff>
        </xdr:to>
        <xdr:sp macro="" textlink="">
          <xdr:nvSpPr>
            <xdr:cNvPr id="69637" name="Drop Down 5" hidden="1">
              <a:extLst>
                <a:ext uri="{63B3BB69-23CF-44E3-9099-C40C66FF867C}">
                  <a14:compatExt spid="_x0000_s69637"/>
                </a:ext>
                <a:ext uri="{FF2B5EF4-FFF2-40B4-BE49-F238E27FC236}">
                  <a16:creationId xmlns:a16="http://schemas.microsoft.com/office/drawing/2014/main" id="{00000000-0008-0000-0500-000005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28575</xdr:rowOff>
        </xdr:from>
        <xdr:to>
          <xdr:col>3</xdr:col>
          <xdr:colOff>1800225</xdr:colOff>
          <xdr:row>26</xdr:row>
          <xdr:rowOff>38100</xdr:rowOff>
        </xdr:to>
        <xdr:sp macro="" textlink="">
          <xdr:nvSpPr>
            <xdr:cNvPr id="69638" name="Drop Down 6" hidden="1">
              <a:extLst>
                <a:ext uri="{63B3BB69-23CF-44E3-9099-C40C66FF867C}">
                  <a14:compatExt spid="_x0000_s69638"/>
                </a:ext>
                <a:ext uri="{FF2B5EF4-FFF2-40B4-BE49-F238E27FC236}">
                  <a16:creationId xmlns:a16="http://schemas.microsoft.com/office/drawing/2014/main" id="{00000000-0008-0000-0500-000006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29</xdr:row>
          <xdr:rowOff>38100</xdr:rowOff>
        </xdr:from>
        <xdr:to>
          <xdr:col>3</xdr:col>
          <xdr:colOff>1781175</xdr:colOff>
          <xdr:row>30</xdr:row>
          <xdr:rowOff>47625</xdr:rowOff>
        </xdr:to>
        <xdr:sp macro="" textlink="">
          <xdr:nvSpPr>
            <xdr:cNvPr id="69639" name="Drop Down 7" hidden="1">
              <a:extLst>
                <a:ext uri="{63B3BB69-23CF-44E3-9099-C40C66FF867C}">
                  <a14:compatExt spid="_x0000_s69639"/>
                </a:ext>
                <a:ext uri="{FF2B5EF4-FFF2-40B4-BE49-F238E27FC236}">
                  <a16:creationId xmlns:a16="http://schemas.microsoft.com/office/drawing/2014/main" id="{00000000-0008-0000-0500-000007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3</xdr:col>
          <xdr:colOff>1800225</xdr:colOff>
          <xdr:row>37</xdr:row>
          <xdr:rowOff>9525</xdr:rowOff>
        </xdr:to>
        <xdr:sp macro="" textlink="">
          <xdr:nvSpPr>
            <xdr:cNvPr id="69640" name="Drop Down 8" hidden="1">
              <a:extLst>
                <a:ext uri="{63B3BB69-23CF-44E3-9099-C40C66FF867C}">
                  <a14:compatExt spid="_x0000_s69640"/>
                </a:ext>
                <a:ext uri="{FF2B5EF4-FFF2-40B4-BE49-F238E27FC236}">
                  <a16:creationId xmlns:a16="http://schemas.microsoft.com/office/drawing/2014/main" id="{00000000-0008-0000-0500-000008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38</xdr:row>
          <xdr:rowOff>0</xdr:rowOff>
        </xdr:from>
        <xdr:to>
          <xdr:col>3</xdr:col>
          <xdr:colOff>1809750</xdr:colOff>
          <xdr:row>39</xdr:row>
          <xdr:rowOff>9525</xdr:rowOff>
        </xdr:to>
        <xdr:sp macro="" textlink="">
          <xdr:nvSpPr>
            <xdr:cNvPr id="69641" name="Drop Down 9" hidden="1">
              <a:extLst>
                <a:ext uri="{63B3BB69-23CF-44E3-9099-C40C66FF867C}">
                  <a14:compatExt spid="_x0000_s69641"/>
                </a:ext>
                <a:ext uri="{FF2B5EF4-FFF2-40B4-BE49-F238E27FC236}">
                  <a16:creationId xmlns:a16="http://schemas.microsoft.com/office/drawing/2014/main" id="{00000000-0008-0000-0500-000009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180975</xdr:rowOff>
        </xdr:from>
        <xdr:to>
          <xdr:col>3</xdr:col>
          <xdr:colOff>1800225</xdr:colOff>
          <xdr:row>41</xdr:row>
          <xdr:rowOff>0</xdr:rowOff>
        </xdr:to>
        <xdr:sp macro="" textlink="">
          <xdr:nvSpPr>
            <xdr:cNvPr id="69642" name="Drop Down 10" hidden="1">
              <a:extLst>
                <a:ext uri="{63B3BB69-23CF-44E3-9099-C40C66FF867C}">
                  <a14:compatExt spid="_x0000_s69642"/>
                </a:ext>
                <a:ext uri="{FF2B5EF4-FFF2-40B4-BE49-F238E27FC236}">
                  <a16:creationId xmlns:a16="http://schemas.microsoft.com/office/drawing/2014/main" id="{00000000-0008-0000-0500-00000A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3</xdr:col>
          <xdr:colOff>1800225</xdr:colOff>
          <xdr:row>43</xdr:row>
          <xdr:rowOff>9525</xdr:rowOff>
        </xdr:to>
        <xdr:sp macro="" textlink="">
          <xdr:nvSpPr>
            <xdr:cNvPr id="69643" name="Drop Down 11" hidden="1">
              <a:extLst>
                <a:ext uri="{63B3BB69-23CF-44E3-9099-C40C66FF867C}">
                  <a14:compatExt spid="_x0000_s69643"/>
                </a:ext>
                <a:ext uri="{FF2B5EF4-FFF2-40B4-BE49-F238E27FC236}">
                  <a16:creationId xmlns:a16="http://schemas.microsoft.com/office/drawing/2014/main" id="{00000000-0008-0000-0500-00000B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3638550</xdr:colOff>
          <xdr:row>8</xdr:row>
          <xdr:rowOff>57150</xdr:rowOff>
        </xdr:from>
        <xdr:to>
          <xdr:col>3</xdr:col>
          <xdr:colOff>1800225</xdr:colOff>
          <xdr:row>9</xdr:row>
          <xdr:rowOff>66675</xdr:rowOff>
        </xdr:to>
        <xdr:sp macro="" textlink="">
          <xdr:nvSpPr>
            <xdr:cNvPr id="69644" name="Drop Down 12" hidden="1">
              <a:extLst>
                <a:ext uri="{63B3BB69-23CF-44E3-9099-C40C66FF867C}">
                  <a14:compatExt spid="_x0000_s69644"/>
                </a:ext>
                <a:ext uri="{FF2B5EF4-FFF2-40B4-BE49-F238E27FC236}">
                  <a16:creationId xmlns:a16="http://schemas.microsoft.com/office/drawing/2014/main" id="{00000000-0008-0000-0500-00000C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3638550</xdr:colOff>
          <xdr:row>8</xdr:row>
          <xdr:rowOff>57150</xdr:rowOff>
        </xdr:from>
        <xdr:to>
          <xdr:col>3</xdr:col>
          <xdr:colOff>1800225</xdr:colOff>
          <xdr:row>9</xdr:row>
          <xdr:rowOff>66675</xdr:rowOff>
        </xdr:to>
        <xdr:sp macro="" textlink="">
          <xdr:nvSpPr>
            <xdr:cNvPr id="69645" name="Drop Down 13" hidden="1">
              <a:extLst>
                <a:ext uri="{63B3BB69-23CF-44E3-9099-C40C66FF867C}">
                  <a14:compatExt spid="_x0000_s69645"/>
                </a:ext>
                <a:ext uri="{FF2B5EF4-FFF2-40B4-BE49-F238E27FC236}">
                  <a16:creationId xmlns:a16="http://schemas.microsoft.com/office/drawing/2014/main" id="{00000000-0008-0000-0500-00000D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3638550</xdr:colOff>
          <xdr:row>8</xdr:row>
          <xdr:rowOff>57150</xdr:rowOff>
        </xdr:from>
        <xdr:to>
          <xdr:col>3</xdr:col>
          <xdr:colOff>1800225</xdr:colOff>
          <xdr:row>9</xdr:row>
          <xdr:rowOff>66675</xdr:rowOff>
        </xdr:to>
        <xdr:sp macro="" textlink="">
          <xdr:nvSpPr>
            <xdr:cNvPr id="69646" name="Drop Down 14" hidden="1">
              <a:extLst>
                <a:ext uri="{63B3BB69-23CF-44E3-9099-C40C66FF867C}">
                  <a14:compatExt spid="_x0000_s69646"/>
                </a:ext>
                <a:ext uri="{FF2B5EF4-FFF2-40B4-BE49-F238E27FC236}">
                  <a16:creationId xmlns:a16="http://schemas.microsoft.com/office/drawing/2014/main" id="{00000000-0008-0000-0500-00000E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3638550</xdr:colOff>
          <xdr:row>8</xdr:row>
          <xdr:rowOff>57150</xdr:rowOff>
        </xdr:from>
        <xdr:to>
          <xdr:col>3</xdr:col>
          <xdr:colOff>1800225</xdr:colOff>
          <xdr:row>9</xdr:row>
          <xdr:rowOff>66675</xdr:rowOff>
        </xdr:to>
        <xdr:sp macro="" textlink="">
          <xdr:nvSpPr>
            <xdr:cNvPr id="69647" name="Drop Down 15" hidden="1">
              <a:extLst>
                <a:ext uri="{63B3BB69-23CF-44E3-9099-C40C66FF867C}">
                  <a14:compatExt spid="_x0000_s69647"/>
                </a:ext>
                <a:ext uri="{FF2B5EF4-FFF2-40B4-BE49-F238E27FC236}">
                  <a16:creationId xmlns:a16="http://schemas.microsoft.com/office/drawing/2014/main" id="{00000000-0008-0000-0500-00000F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44</xdr:row>
          <xdr:rowOff>0</xdr:rowOff>
        </xdr:from>
        <xdr:to>
          <xdr:col>3</xdr:col>
          <xdr:colOff>1809750</xdr:colOff>
          <xdr:row>45</xdr:row>
          <xdr:rowOff>9525</xdr:rowOff>
        </xdr:to>
        <xdr:sp macro="" textlink="">
          <xdr:nvSpPr>
            <xdr:cNvPr id="69648" name="Drop Down 16" hidden="1">
              <a:extLst>
                <a:ext uri="{63B3BB69-23CF-44E3-9099-C40C66FF867C}">
                  <a14:compatExt spid="_x0000_s69648"/>
                </a:ext>
                <a:ext uri="{FF2B5EF4-FFF2-40B4-BE49-F238E27FC236}">
                  <a16:creationId xmlns:a16="http://schemas.microsoft.com/office/drawing/2014/main" id="{00000000-0008-0000-0500-000010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38100</xdr:rowOff>
        </xdr:from>
        <xdr:to>
          <xdr:col>3</xdr:col>
          <xdr:colOff>1809750</xdr:colOff>
          <xdr:row>33</xdr:row>
          <xdr:rowOff>47625</xdr:rowOff>
        </xdr:to>
        <xdr:sp macro="" textlink="">
          <xdr:nvSpPr>
            <xdr:cNvPr id="69650" name="Drop Down 18" hidden="1">
              <a:extLst>
                <a:ext uri="{63B3BB69-23CF-44E3-9099-C40C66FF867C}">
                  <a14:compatExt spid="_x0000_s69650"/>
                </a:ext>
                <a:ext uri="{FF2B5EF4-FFF2-40B4-BE49-F238E27FC236}">
                  <a16:creationId xmlns:a16="http://schemas.microsoft.com/office/drawing/2014/main" id="{00000000-0008-0000-0500-000012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3638550</xdr:colOff>
          <xdr:row>8</xdr:row>
          <xdr:rowOff>0</xdr:rowOff>
        </xdr:from>
        <xdr:to>
          <xdr:col>3</xdr:col>
          <xdr:colOff>1800225</xdr:colOff>
          <xdr:row>9</xdr:row>
          <xdr:rowOff>9525</xdr:rowOff>
        </xdr:to>
        <xdr:sp macro="" textlink="">
          <xdr:nvSpPr>
            <xdr:cNvPr id="76802" name="Drop Down 2" hidden="1">
              <a:extLst>
                <a:ext uri="{63B3BB69-23CF-44E3-9099-C40C66FF867C}">
                  <a14:compatExt spid="_x0000_s76802"/>
                </a:ext>
                <a:ext uri="{FF2B5EF4-FFF2-40B4-BE49-F238E27FC236}">
                  <a16:creationId xmlns:a16="http://schemas.microsoft.com/office/drawing/2014/main" id="{00000000-0008-0000-0600-000002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38100</xdr:rowOff>
        </xdr:from>
        <xdr:to>
          <xdr:col>3</xdr:col>
          <xdr:colOff>1800225</xdr:colOff>
          <xdr:row>13</xdr:row>
          <xdr:rowOff>47625</xdr:rowOff>
        </xdr:to>
        <xdr:sp macro="" textlink="">
          <xdr:nvSpPr>
            <xdr:cNvPr id="76803" name="Drop Down 3" hidden="1">
              <a:extLst>
                <a:ext uri="{63B3BB69-23CF-44E3-9099-C40C66FF867C}">
                  <a14:compatExt spid="_x0000_s76803"/>
                </a:ext>
                <a:ext uri="{FF2B5EF4-FFF2-40B4-BE49-F238E27FC236}">
                  <a16:creationId xmlns:a16="http://schemas.microsoft.com/office/drawing/2014/main" id="{00000000-0008-0000-0600-000003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28575</xdr:rowOff>
        </xdr:from>
        <xdr:to>
          <xdr:col>3</xdr:col>
          <xdr:colOff>1800225</xdr:colOff>
          <xdr:row>17</xdr:row>
          <xdr:rowOff>38100</xdr:rowOff>
        </xdr:to>
        <xdr:sp macro="" textlink="">
          <xdr:nvSpPr>
            <xdr:cNvPr id="76804" name="Drop Down 4" hidden="1">
              <a:extLst>
                <a:ext uri="{63B3BB69-23CF-44E3-9099-C40C66FF867C}">
                  <a14:compatExt spid="_x0000_s76804"/>
                </a:ext>
                <a:ext uri="{FF2B5EF4-FFF2-40B4-BE49-F238E27FC236}">
                  <a16:creationId xmlns:a16="http://schemas.microsoft.com/office/drawing/2014/main" id="{00000000-0008-0000-0600-000004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28575</xdr:rowOff>
        </xdr:from>
        <xdr:to>
          <xdr:col>3</xdr:col>
          <xdr:colOff>1800225</xdr:colOff>
          <xdr:row>21</xdr:row>
          <xdr:rowOff>38100</xdr:rowOff>
        </xdr:to>
        <xdr:sp macro="" textlink="">
          <xdr:nvSpPr>
            <xdr:cNvPr id="76805" name="Drop Down 5" hidden="1">
              <a:extLst>
                <a:ext uri="{63B3BB69-23CF-44E3-9099-C40C66FF867C}">
                  <a14:compatExt spid="_x0000_s76805"/>
                </a:ext>
                <a:ext uri="{FF2B5EF4-FFF2-40B4-BE49-F238E27FC236}">
                  <a16:creationId xmlns:a16="http://schemas.microsoft.com/office/drawing/2014/main" id="{00000000-0008-0000-0600-000005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46</xdr:row>
          <xdr:rowOff>38100</xdr:rowOff>
        </xdr:from>
        <xdr:to>
          <xdr:col>3</xdr:col>
          <xdr:colOff>1781175</xdr:colOff>
          <xdr:row>47</xdr:row>
          <xdr:rowOff>47625</xdr:rowOff>
        </xdr:to>
        <xdr:sp macro="" textlink="">
          <xdr:nvSpPr>
            <xdr:cNvPr id="76806" name="Drop Down 6" hidden="1">
              <a:extLst>
                <a:ext uri="{63B3BB69-23CF-44E3-9099-C40C66FF867C}">
                  <a14:compatExt spid="_x0000_s76806"/>
                </a:ext>
                <a:ext uri="{FF2B5EF4-FFF2-40B4-BE49-F238E27FC236}">
                  <a16:creationId xmlns:a16="http://schemas.microsoft.com/office/drawing/2014/main" id="{00000000-0008-0000-0600-000006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1800225</xdr:colOff>
          <xdr:row>51</xdr:row>
          <xdr:rowOff>9525</xdr:rowOff>
        </xdr:to>
        <xdr:sp macro="" textlink="">
          <xdr:nvSpPr>
            <xdr:cNvPr id="76807" name="Drop Down 7" hidden="1">
              <a:extLst>
                <a:ext uri="{63B3BB69-23CF-44E3-9099-C40C66FF867C}">
                  <a14:compatExt spid="_x0000_s76807"/>
                </a:ext>
                <a:ext uri="{FF2B5EF4-FFF2-40B4-BE49-F238E27FC236}">
                  <a16:creationId xmlns:a16="http://schemas.microsoft.com/office/drawing/2014/main" id="{00000000-0008-0000-0600-000007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52</xdr:row>
          <xdr:rowOff>0</xdr:rowOff>
        </xdr:from>
        <xdr:to>
          <xdr:col>3</xdr:col>
          <xdr:colOff>1809750</xdr:colOff>
          <xdr:row>53</xdr:row>
          <xdr:rowOff>9525</xdr:rowOff>
        </xdr:to>
        <xdr:sp macro="" textlink="">
          <xdr:nvSpPr>
            <xdr:cNvPr id="76808" name="Drop Down 8" hidden="1">
              <a:extLst>
                <a:ext uri="{63B3BB69-23CF-44E3-9099-C40C66FF867C}">
                  <a14:compatExt spid="_x0000_s76808"/>
                </a:ext>
                <a:ext uri="{FF2B5EF4-FFF2-40B4-BE49-F238E27FC236}">
                  <a16:creationId xmlns:a16="http://schemas.microsoft.com/office/drawing/2014/main" id="{00000000-0008-0000-0600-000008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180975</xdr:rowOff>
        </xdr:from>
        <xdr:to>
          <xdr:col>3</xdr:col>
          <xdr:colOff>1800225</xdr:colOff>
          <xdr:row>55</xdr:row>
          <xdr:rowOff>0</xdr:rowOff>
        </xdr:to>
        <xdr:sp macro="" textlink="">
          <xdr:nvSpPr>
            <xdr:cNvPr id="76809" name="Drop Down 9" hidden="1">
              <a:extLst>
                <a:ext uri="{63B3BB69-23CF-44E3-9099-C40C66FF867C}">
                  <a14:compatExt spid="_x0000_s76809"/>
                </a:ext>
                <a:ext uri="{FF2B5EF4-FFF2-40B4-BE49-F238E27FC236}">
                  <a16:creationId xmlns:a16="http://schemas.microsoft.com/office/drawing/2014/main" id="{00000000-0008-0000-0600-000009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1800225</xdr:colOff>
          <xdr:row>57</xdr:row>
          <xdr:rowOff>9525</xdr:rowOff>
        </xdr:to>
        <xdr:sp macro="" textlink="">
          <xdr:nvSpPr>
            <xdr:cNvPr id="76810" name="Drop Down 10" hidden="1">
              <a:extLst>
                <a:ext uri="{63B3BB69-23CF-44E3-9099-C40C66FF867C}">
                  <a14:compatExt spid="_x0000_s76810"/>
                </a:ext>
                <a:ext uri="{FF2B5EF4-FFF2-40B4-BE49-F238E27FC236}">
                  <a16:creationId xmlns:a16="http://schemas.microsoft.com/office/drawing/2014/main" id="{00000000-0008-0000-0600-00000A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3638550</xdr:colOff>
          <xdr:row>2</xdr:row>
          <xdr:rowOff>57150</xdr:rowOff>
        </xdr:from>
        <xdr:to>
          <xdr:col>3</xdr:col>
          <xdr:colOff>1800225</xdr:colOff>
          <xdr:row>3</xdr:row>
          <xdr:rowOff>66675</xdr:rowOff>
        </xdr:to>
        <xdr:sp macro="" textlink="">
          <xdr:nvSpPr>
            <xdr:cNvPr id="76811" name="Drop Down 11" hidden="1">
              <a:extLst>
                <a:ext uri="{63B3BB69-23CF-44E3-9099-C40C66FF867C}">
                  <a14:compatExt spid="_x0000_s76811"/>
                </a:ext>
                <a:ext uri="{FF2B5EF4-FFF2-40B4-BE49-F238E27FC236}">
                  <a16:creationId xmlns:a16="http://schemas.microsoft.com/office/drawing/2014/main" id="{00000000-0008-0000-0600-00000B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3</xdr:col>
          <xdr:colOff>1800225</xdr:colOff>
          <xdr:row>25</xdr:row>
          <xdr:rowOff>200025</xdr:rowOff>
        </xdr:to>
        <xdr:sp macro="" textlink="">
          <xdr:nvSpPr>
            <xdr:cNvPr id="76812" name="Drop Down 12" hidden="1">
              <a:extLst>
                <a:ext uri="{63B3BB69-23CF-44E3-9099-C40C66FF867C}">
                  <a14:compatExt spid="_x0000_s76812"/>
                </a:ext>
                <a:ext uri="{FF2B5EF4-FFF2-40B4-BE49-F238E27FC236}">
                  <a16:creationId xmlns:a16="http://schemas.microsoft.com/office/drawing/2014/main" id="{00000000-0008-0000-0600-00000C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3</xdr:col>
          <xdr:colOff>1800225</xdr:colOff>
          <xdr:row>26</xdr:row>
          <xdr:rowOff>200025</xdr:rowOff>
        </xdr:to>
        <xdr:sp macro="" textlink="">
          <xdr:nvSpPr>
            <xdr:cNvPr id="76813" name="Drop Down 13" hidden="1">
              <a:extLst>
                <a:ext uri="{63B3BB69-23CF-44E3-9099-C40C66FF867C}">
                  <a14:compatExt spid="_x0000_s76813"/>
                </a:ext>
                <a:ext uri="{FF2B5EF4-FFF2-40B4-BE49-F238E27FC236}">
                  <a16:creationId xmlns:a16="http://schemas.microsoft.com/office/drawing/2014/main" id="{00000000-0008-0000-0600-00000D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3</xdr:col>
          <xdr:colOff>1800225</xdr:colOff>
          <xdr:row>27</xdr:row>
          <xdr:rowOff>200025</xdr:rowOff>
        </xdr:to>
        <xdr:sp macro="" textlink="">
          <xdr:nvSpPr>
            <xdr:cNvPr id="76814" name="Drop Down 14" hidden="1">
              <a:extLst>
                <a:ext uri="{63B3BB69-23CF-44E3-9099-C40C66FF867C}">
                  <a14:compatExt spid="_x0000_s76814"/>
                </a:ext>
                <a:ext uri="{FF2B5EF4-FFF2-40B4-BE49-F238E27FC236}">
                  <a16:creationId xmlns:a16="http://schemas.microsoft.com/office/drawing/2014/main" id="{00000000-0008-0000-0600-00000E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219075</xdr:rowOff>
        </xdr:from>
        <xdr:to>
          <xdr:col>3</xdr:col>
          <xdr:colOff>1800225</xdr:colOff>
          <xdr:row>28</xdr:row>
          <xdr:rowOff>190500</xdr:rowOff>
        </xdr:to>
        <xdr:sp macro="" textlink="">
          <xdr:nvSpPr>
            <xdr:cNvPr id="76815" name="Drop Down 15" hidden="1">
              <a:extLst>
                <a:ext uri="{63B3BB69-23CF-44E3-9099-C40C66FF867C}">
                  <a14:compatExt spid="_x0000_s76815"/>
                </a:ext>
                <a:ext uri="{FF2B5EF4-FFF2-40B4-BE49-F238E27FC236}">
                  <a16:creationId xmlns:a16="http://schemas.microsoft.com/office/drawing/2014/main" id="{00000000-0008-0000-0600-00000F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219075</xdr:rowOff>
        </xdr:from>
        <xdr:to>
          <xdr:col>3</xdr:col>
          <xdr:colOff>1800225</xdr:colOff>
          <xdr:row>29</xdr:row>
          <xdr:rowOff>190500</xdr:rowOff>
        </xdr:to>
        <xdr:sp macro="" textlink="">
          <xdr:nvSpPr>
            <xdr:cNvPr id="76816" name="Drop Down 16" hidden="1">
              <a:extLst>
                <a:ext uri="{63B3BB69-23CF-44E3-9099-C40C66FF867C}">
                  <a14:compatExt spid="_x0000_s76816"/>
                </a:ext>
                <a:ext uri="{FF2B5EF4-FFF2-40B4-BE49-F238E27FC236}">
                  <a16:creationId xmlns:a16="http://schemas.microsoft.com/office/drawing/2014/main" id="{00000000-0008-0000-0600-000010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219075</xdr:rowOff>
        </xdr:from>
        <xdr:to>
          <xdr:col>3</xdr:col>
          <xdr:colOff>1800225</xdr:colOff>
          <xdr:row>30</xdr:row>
          <xdr:rowOff>190500</xdr:rowOff>
        </xdr:to>
        <xdr:sp macro="" textlink="">
          <xdr:nvSpPr>
            <xdr:cNvPr id="76817" name="Drop Down 17" hidden="1">
              <a:extLst>
                <a:ext uri="{63B3BB69-23CF-44E3-9099-C40C66FF867C}">
                  <a14:compatExt spid="_x0000_s76817"/>
                </a:ext>
                <a:ext uri="{FF2B5EF4-FFF2-40B4-BE49-F238E27FC236}">
                  <a16:creationId xmlns:a16="http://schemas.microsoft.com/office/drawing/2014/main" id="{00000000-0008-0000-0600-000011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219075</xdr:rowOff>
        </xdr:from>
        <xdr:to>
          <xdr:col>3</xdr:col>
          <xdr:colOff>1800225</xdr:colOff>
          <xdr:row>31</xdr:row>
          <xdr:rowOff>190500</xdr:rowOff>
        </xdr:to>
        <xdr:sp macro="" textlink="">
          <xdr:nvSpPr>
            <xdr:cNvPr id="76818" name="Drop Down 18" hidden="1">
              <a:extLst>
                <a:ext uri="{63B3BB69-23CF-44E3-9099-C40C66FF867C}">
                  <a14:compatExt spid="_x0000_s76818"/>
                </a:ext>
                <a:ext uri="{FF2B5EF4-FFF2-40B4-BE49-F238E27FC236}">
                  <a16:creationId xmlns:a16="http://schemas.microsoft.com/office/drawing/2014/main" id="{00000000-0008-0000-0600-000012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3</xdr:col>
          <xdr:colOff>1800225</xdr:colOff>
          <xdr:row>32</xdr:row>
          <xdr:rowOff>200025</xdr:rowOff>
        </xdr:to>
        <xdr:sp macro="" textlink="">
          <xdr:nvSpPr>
            <xdr:cNvPr id="76819" name="Drop Down 19" hidden="1">
              <a:extLst>
                <a:ext uri="{63B3BB69-23CF-44E3-9099-C40C66FF867C}">
                  <a14:compatExt spid="_x0000_s76819"/>
                </a:ext>
                <a:ext uri="{FF2B5EF4-FFF2-40B4-BE49-F238E27FC236}">
                  <a16:creationId xmlns:a16="http://schemas.microsoft.com/office/drawing/2014/main" id="{00000000-0008-0000-0600-000013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9525</xdr:rowOff>
        </xdr:from>
        <xdr:to>
          <xdr:col>3</xdr:col>
          <xdr:colOff>1800225</xdr:colOff>
          <xdr:row>33</xdr:row>
          <xdr:rowOff>209550</xdr:rowOff>
        </xdr:to>
        <xdr:sp macro="" textlink="">
          <xdr:nvSpPr>
            <xdr:cNvPr id="76820" name="Drop Down 20" hidden="1">
              <a:extLst>
                <a:ext uri="{63B3BB69-23CF-44E3-9099-C40C66FF867C}">
                  <a14:compatExt spid="_x0000_s76820"/>
                </a:ext>
                <a:ext uri="{FF2B5EF4-FFF2-40B4-BE49-F238E27FC236}">
                  <a16:creationId xmlns:a16="http://schemas.microsoft.com/office/drawing/2014/main" id="{00000000-0008-0000-0600-000014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3</xdr:col>
          <xdr:colOff>1800225</xdr:colOff>
          <xdr:row>34</xdr:row>
          <xdr:rowOff>200025</xdr:rowOff>
        </xdr:to>
        <xdr:sp macro="" textlink="">
          <xdr:nvSpPr>
            <xdr:cNvPr id="76821" name="Drop Down 21" hidden="1">
              <a:extLst>
                <a:ext uri="{63B3BB69-23CF-44E3-9099-C40C66FF867C}">
                  <a14:compatExt spid="_x0000_s76821"/>
                </a:ext>
                <a:ext uri="{FF2B5EF4-FFF2-40B4-BE49-F238E27FC236}">
                  <a16:creationId xmlns:a16="http://schemas.microsoft.com/office/drawing/2014/main" id="{00000000-0008-0000-0600-000015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1800225</xdr:colOff>
          <xdr:row>35</xdr:row>
          <xdr:rowOff>200025</xdr:rowOff>
        </xdr:to>
        <xdr:sp macro="" textlink="">
          <xdr:nvSpPr>
            <xdr:cNvPr id="76822" name="Drop Down 22" hidden="1">
              <a:extLst>
                <a:ext uri="{63B3BB69-23CF-44E3-9099-C40C66FF867C}">
                  <a14:compatExt spid="_x0000_s76822"/>
                </a:ext>
                <a:ext uri="{FF2B5EF4-FFF2-40B4-BE49-F238E27FC236}">
                  <a16:creationId xmlns:a16="http://schemas.microsoft.com/office/drawing/2014/main" id="{00000000-0008-0000-0600-000016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3</xdr:col>
          <xdr:colOff>1800225</xdr:colOff>
          <xdr:row>37</xdr:row>
          <xdr:rowOff>200025</xdr:rowOff>
        </xdr:to>
        <xdr:sp macro="" textlink="">
          <xdr:nvSpPr>
            <xdr:cNvPr id="76823" name="Drop Down 23" hidden="1">
              <a:extLst>
                <a:ext uri="{63B3BB69-23CF-44E3-9099-C40C66FF867C}">
                  <a14:compatExt spid="_x0000_s76823"/>
                </a:ext>
                <a:ext uri="{FF2B5EF4-FFF2-40B4-BE49-F238E27FC236}">
                  <a16:creationId xmlns:a16="http://schemas.microsoft.com/office/drawing/2014/main" id="{00000000-0008-0000-0600-000017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9525</xdr:rowOff>
        </xdr:from>
        <xdr:to>
          <xdr:col>3</xdr:col>
          <xdr:colOff>1800225</xdr:colOff>
          <xdr:row>36</xdr:row>
          <xdr:rowOff>200025</xdr:rowOff>
        </xdr:to>
        <xdr:sp macro="" textlink="">
          <xdr:nvSpPr>
            <xdr:cNvPr id="76824" name="Drop Down 24" hidden="1">
              <a:extLst>
                <a:ext uri="{63B3BB69-23CF-44E3-9099-C40C66FF867C}">
                  <a14:compatExt spid="_x0000_s76824"/>
                </a:ext>
                <a:ext uri="{FF2B5EF4-FFF2-40B4-BE49-F238E27FC236}">
                  <a16:creationId xmlns:a16="http://schemas.microsoft.com/office/drawing/2014/main" id="{00000000-0008-0000-0600-000018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3</xdr:col>
          <xdr:colOff>1800225</xdr:colOff>
          <xdr:row>38</xdr:row>
          <xdr:rowOff>209550</xdr:rowOff>
        </xdr:to>
        <xdr:sp macro="" textlink="">
          <xdr:nvSpPr>
            <xdr:cNvPr id="76825" name="Drop Down 25" hidden="1">
              <a:extLst>
                <a:ext uri="{63B3BB69-23CF-44E3-9099-C40C66FF867C}">
                  <a14:compatExt spid="_x0000_s76825"/>
                </a:ext>
                <a:ext uri="{FF2B5EF4-FFF2-40B4-BE49-F238E27FC236}">
                  <a16:creationId xmlns:a16="http://schemas.microsoft.com/office/drawing/2014/main" id="{00000000-0008-0000-0600-000019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3</xdr:col>
          <xdr:colOff>1800225</xdr:colOff>
          <xdr:row>39</xdr:row>
          <xdr:rowOff>209550</xdr:rowOff>
        </xdr:to>
        <xdr:sp macro="" textlink="">
          <xdr:nvSpPr>
            <xdr:cNvPr id="76826" name="Drop Down 26" hidden="1">
              <a:extLst>
                <a:ext uri="{63B3BB69-23CF-44E3-9099-C40C66FF867C}">
                  <a14:compatExt spid="_x0000_s76826"/>
                </a:ext>
                <a:ext uri="{FF2B5EF4-FFF2-40B4-BE49-F238E27FC236}">
                  <a16:creationId xmlns:a16="http://schemas.microsoft.com/office/drawing/2014/main" id="{00000000-0008-0000-0600-00001A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3</xdr:col>
          <xdr:colOff>1800225</xdr:colOff>
          <xdr:row>40</xdr:row>
          <xdr:rowOff>200025</xdr:rowOff>
        </xdr:to>
        <xdr:sp macro="" textlink="">
          <xdr:nvSpPr>
            <xdr:cNvPr id="76827" name="Drop Down 27" hidden="1">
              <a:extLst>
                <a:ext uri="{63B3BB69-23CF-44E3-9099-C40C66FF867C}">
                  <a14:compatExt spid="_x0000_s76827"/>
                </a:ext>
                <a:ext uri="{FF2B5EF4-FFF2-40B4-BE49-F238E27FC236}">
                  <a16:creationId xmlns:a16="http://schemas.microsoft.com/office/drawing/2014/main" id="{00000000-0008-0000-0600-00001B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43</xdr:row>
          <xdr:rowOff>38100</xdr:rowOff>
        </xdr:from>
        <xdr:to>
          <xdr:col>3</xdr:col>
          <xdr:colOff>1809750</xdr:colOff>
          <xdr:row>44</xdr:row>
          <xdr:rowOff>9525</xdr:rowOff>
        </xdr:to>
        <xdr:sp macro="" textlink="">
          <xdr:nvSpPr>
            <xdr:cNvPr id="76828" name="Drop Down 28" hidden="1">
              <a:extLst>
                <a:ext uri="{63B3BB69-23CF-44E3-9099-C40C66FF867C}">
                  <a14:compatExt spid="_x0000_s76828"/>
                </a:ext>
                <a:ext uri="{FF2B5EF4-FFF2-40B4-BE49-F238E27FC236}">
                  <a16:creationId xmlns:a16="http://schemas.microsoft.com/office/drawing/2014/main" id="{00000000-0008-0000-0600-00001C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3</xdr:col>
          <xdr:colOff>1800225</xdr:colOff>
          <xdr:row>59</xdr:row>
          <xdr:rowOff>9525</xdr:rowOff>
        </xdr:to>
        <xdr:sp macro="" textlink="">
          <xdr:nvSpPr>
            <xdr:cNvPr id="76829" name="Drop Down 29" hidden="1">
              <a:extLst>
                <a:ext uri="{63B3BB69-23CF-44E3-9099-C40C66FF867C}">
                  <a14:compatExt spid="_x0000_s76829"/>
                </a:ext>
                <a:ext uri="{FF2B5EF4-FFF2-40B4-BE49-F238E27FC236}">
                  <a16:creationId xmlns:a16="http://schemas.microsoft.com/office/drawing/2014/main" id="{00000000-0008-0000-0600-00001D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xdr:row>
          <xdr:rowOff>38100</xdr:rowOff>
        </xdr:from>
        <xdr:to>
          <xdr:col>3</xdr:col>
          <xdr:colOff>1800225</xdr:colOff>
          <xdr:row>3</xdr:row>
          <xdr:rowOff>47625</xdr:rowOff>
        </xdr:to>
        <xdr:sp macro="" textlink="">
          <xdr:nvSpPr>
            <xdr:cNvPr id="73729" name="Drop Down 1" hidden="1">
              <a:extLst>
                <a:ext uri="{63B3BB69-23CF-44E3-9099-C40C66FF867C}">
                  <a14:compatExt spid="_x0000_s73729"/>
                </a:ext>
                <a:ext uri="{FF2B5EF4-FFF2-40B4-BE49-F238E27FC236}">
                  <a16:creationId xmlns:a16="http://schemas.microsoft.com/office/drawing/2014/main" id="{00000000-0008-0000-0700-000001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3638550</xdr:colOff>
          <xdr:row>14</xdr:row>
          <xdr:rowOff>0</xdr:rowOff>
        </xdr:from>
        <xdr:to>
          <xdr:col>3</xdr:col>
          <xdr:colOff>1800225</xdr:colOff>
          <xdr:row>15</xdr:row>
          <xdr:rowOff>9525</xdr:rowOff>
        </xdr:to>
        <xdr:sp macro="" textlink="">
          <xdr:nvSpPr>
            <xdr:cNvPr id="73730" name="Drop Down 2" hidden="1">
              <a:extLst>
                <a:ext uri="{63B3BB69-23CF-44E3-9099-C40C66FF867C}">
                  <a14:compatExt spid="_x0000_s73730"/>
                </a:ext>
                <a:ext uri="{FF2B5EF4-FFF2-40B4-BE49-F238E27FC236}">
                  <a16:creationId xmlns:a16="http://schemas.microsoft.com/office/drawing/2014/main" id="{00000000-0008-0000-0700-000002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38100</xdr:rowOff>
        </xdr:from>
        <xdr:to>
          <xdr:col>3</xdr:col>
          <xdr:colOff>1800225</xdr:colOff>
          <xdr:row>19</xdr:row>
          <xdr:rowOff>47625</xdr:rowOff>
        </xdr:to>
        <xdr:sp macro="" textlink="">
          <xdr:nvSpPr>
            <xdr:cNvPr id="73732" name="Drop Down 4" hidden="1">
              <a:extLst>
                <a:ext uri="{63B3BB69-23CF-44E3-9099-C40C66FF867C}">
                  <a14:compatExt spid="_x0000_s73732"/>
                </a:ext>
                <a:ext uri="{FF2B5EF4-FFF2-40B4-BE49-F238E27FC236}">
                  <a16:creationId xmlns:a16="http://schemas.microsoft.com/office/drawing/2014/main" id="{00000000-0008-0000-0700-000004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28575</xdr:rowOff>
        </xdr:from>
        <xdr:to>
          <xdr:col>3</xdr:col>
          <xdr:colOff>1800225</xdr:colOff>
          <xdr:row>23</xdr:row>
          <xdr:rowOff>38100</xdr:rowOff>
        </xdr:to>
        <xdr:sp macro="" textlink="">
          <xdr:nvSpPr>
            <xdr:cNvPr id="73733" name="Drop Down 5" hidden="1">
              <a:extLst>
                <a:ext uri="{63B3BB69-23CF-44E3-9099-C40C66FF867C}">
                  <a14:compatExt spid="_x0000_s73733"/>
                </a:ext>
                <a:ext uri="{FF2B5EF4-FFF2-40B4-BE49-F238E27FC236}">
                  <a16:creationId xmlns:a16="http://schemas.microsoft.com/office/drawing/2014/main" id="{00000000-0008-0000-0700-000005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28575</xdr:rowOff>
        </xdr:from>
        <xdr:to>
          <xdr:col>3</xdr:col>
          <xdr:colOff>1800225</xdr:colOff>
          <xdr:row>27</xdr:row>
          <xdr:rowOff>38100</xdr:rowOff>
        </xdr:to>
        <xdr:sp macro="" textlink="">
          <xdr:nvSpPr>
            <xdr:cNvPr id="73734" name="Drop Down 6" hidden="1">
              <a:extLst>
                <a:ext uri="{63B3BB69-23CF-44E3-9099-C40C66FF867C}">
                  <a14:compatExt spid="_x0000_s73734"/>
                </a:ext>
                <a:ext uri="{FF2B5EF4-FFF2-40B4-BE49-F238E27FC236}">
                  <a16:creationId xmlns:a16="http://schemas.microsoft.com/office/drawing/2014/main" id="{00000000-0008-0000-0700-000006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30</xdr:row>
          <xdr:rowOff>38100</xdr:rowOff>
        </xdr:from>
        <xdr:to>
          <xdr:col>3</xdr:col>
          <xdr:colOff>1781175</xdr:colOff>
          <xdr:row>31</xdr:row>
          <xdr:rowOff>47625</xdr:rowOff>
        </xdr:to>
        <xdr:sp macro="" textlink="">
          <xdr:nvSpPr>
            <xdr:cNvPr id="73735" name="Drop Down 7" hidden="1">
              <a:extLst>
                <a:ext uri="{63B3BB69-23CF-44E3-9099-C40C66FF867C}">
                  <a14:compatExt spid="_x0000_s73735"/>
                </a:ext>
                <a:ext uri="{FF2B5EF4-FFF2-40B4-BE49-F238E27FC236}">
                  <a16:creationId xmlns:a16="http://schemas.microsoft.com/office/drawing/2014/main" id="{00000000-0008-0000-0700-000007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3</xdr:col>
          <xdr:colOff>1800225</xdr:colOff>
          <xdr:row>38</xdr:row>
          <xdr:rowOff>9525</xdr:rowOff>
        </xdr:to>
        <xdr:sp macro="" textlink="">
          <xdr:nvSpPr>
            <xdr:cNvPr id="73736" name="Drop Down 8" hidden="1">
              <a:extLst>
                <a:ext uri="{63B3BB69-23CF-44E3-9099-C40C66FF867C}">
                  <a14:compatExt spid="_x0000_s73736"/>
                </a:ext>
                <a:ext uri="{FF2B5EF4-FFF2-40B4-BE49-F238E27FC236}">
                  <a16:creationId xmlns:a16="http://schemas.microsoft.com/office/drawing/2014/main" id="{00000000-0008-0000-0700-000008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39</xdr:row>
          <xdr:rowOff>0</xdr:rowOff>
        </xdr:from>
        <xdr:to>
          <xdr:col>3</xdr:col>
          <xdr:colOff>1809750</xdr:colOff>
          <xdr:row>40</xdr:row>
          <xdr:rowOff>9525</xdr:rowOff>
        </xdr:to>
        <xdr:sp macro="" textlink="">
          <xdr:nvSpPr>
            <xdr:cNvPr id="73737" name="Drop Down 9" hidden="1">
              <a:extLst>
                <a:ext uri="{63B3BB69-23CF-44E3-9099-C40C66FF867C}">
                  <a14:compatExt spid="_x0000_s73737"/>
                </a:ext>
                <a:ext uri="{FF2B5EF4-FFF2-40B4-BE49-F238E27FC236}">
                  <a16:creationId xmlns:a16="http://schemas.microsoft.com/office/drawing/2014/main" id="{00000000-0008-0000-0700-000009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180975</xdr:rowOff>
        </xdr:from>
        <xdr:to>
          <xdr:col>3</xdr:col>
          <xdr:colOff>1800225</xdr:colOff>
          <xdr:row>42</xdr:row>
          <xdr:rowOff>0</xdr:rowOff>
        </xdr:to>
        <xdr:sp macro="" textlink="">
          <xdr:nvSpPr>
            <xdr:cNvPr id="73738" name="Drop Down 10" hidden="1">
              <a:extLst>
                <a:ext uri="{63B3BB69-23CF-44E3-9099-C40C66FF867C}">
                  <a14:compatExt spid="_x0000_s73738"/>
                </a:ext>
                <a:ext uri="{FF2B5EF4-FFF2-40B4-BE49-F238E27FC236}">
                  <a16:creationId xmlns:a16="http://schemas.microsoft.com/office/drawing/2014/main" id="{00000000-0008-0000-0700-00000A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0</xdr:rowOff>
        </xdr:from>
        <xdr:to>
          <xdr:col>3</xdr:col>
          <xdr:colOff>1800225</xdr:colOff>
          <xdr:row>44</xdr:row>
          <xdr:rowOff>9525</xdr:rowOff>
        </xdr:to>
        <xdr:sp macro="" textlink="">
          <xdr:nvSpPr>
            <xdr:cNvPr id="73739" name="Drop Down 11" hidden="1">
              <a:extLst>
                <a:ext uri="{63B3BB69-23CF-44E3-9099-C40C66FF867C}">
                  <a14:compatExt spid="_x0000_s73739"/>
                </a:ext>
                <a:ext uri="{FF2B5EF4-FFF2-40B4-BE49-F238E27FC236}">
                  <a16:creationId xmlns:a16="http://schemas.microsoft.com/office/drawing/2014/main" id="{00000000-0008-0000-0700-00000B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3638550</xdr:colOff>
          <xdr:row>8</xdr:row>
          <xdr:rowOff>57150</xdr:rowOff>
        </xdr:from>
        <xdr:to>
          <xdr:col>3</xdr:col>
          <xdr:colOff>1800225</xdr:colOff>
          <xdr:row>9</xdr:row>
          <xdr:rowOff>66675</xdr:rowOff>
        </xdr:to>
        <xdr:sp macro="" textlink="">
          <xdr:nvSpPr>
            <xdr:cNvPr id="73740" name="Drop Down 12" hidden="1">
              <a:extLst>
                <a:ext uri="{63B3BB69-23CF-44E3-9099-C40C66FF867C}">
                  <a14:compatExt spid="_x0000_s73740"/>
                </a:ext>
                <a:ext uri="{FF2B5EF4-FFF2-40B4-BE49-F238E27FC236}">
                  <a16:creationId xmlns:a16="http://schemas.microsoft.com/office/drawing/2014/main" id="{00000000-0008-0000-0700-00000C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38100</xdr:rowOff>
        </xdr:from>
        <xdr:to>
          <xdr:col>3</xdr:col>
          <xdr:colOff>1809750</xdr:colOff>
          <xdr:row>34</xdr:row>
          <xdr:rowOff>47625</xdr:rowOff>
        </xdr:to>
        <xdr:sp macro="" textlink="">
          <xdr:nvSpPr>
            <xdr:cNvPr id="73741" name="Drop Down 13" hidden="1">
              <a:extLst>
                <a:ext uri="{63B3BB69-23CF-44E3-9099-C40C66FF867C}">
                  <a14:compatExt spid="_x0000_s73741"/>
                </a:ext>
                <a:ext uri="{FF2B5EF4-FFF2-40B4-BE49-F238E27FC236}">
                  <a16:creationId xmlns:a16="http://schemas.microsoft.com/office/drawing/2014/main" id="{00000000-0008-0000-0700-00000D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45</xdr:row>
          <xdr:rowOff>0</xdr:rowOff>
        </xdr:from>
        <xdr:to>
          <xdr:col>3</xdr:col>
          <xdr:colOff>1809750</xdr:colOff>
          <xdr:row>46</xdr:row>
          <xdr:rowOff>9525</xdr:rowOff>
        </xdr:to>
        <xdr:sp macro="" textlink="">
          <xdr:nvSpPr>
            <xdr:cNvPr id="73742" name="Drop Down 14" hidden="1">
              <a:extLst>
                <a:ext uri="{63B3BB69-23CF-44E3-9099-C40C66FF867C}">
                  <a14:compatExt spid="_x0000_s73742"/>
                </a:ext>
                <a:ext uri="{FF2B5EF4-FFF2-40B4-BE49-F238E27FC236}">
                  <a16:creationId xmlns:a16="http://schemas.microsoft.com/office/drawing/2014/main" id="{00000000-0008-0000-0700-00000E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xdr:row>
          <xdr:rowOff>38100</xdr:rowOff>
        </xdr:from>
        <xdr:to>
          <xdr:col>3</xdr:col>
          <xdr:colOff>1800225</xdr:colOff>
          <xdr:row>3</xdr:row>
          <xdr:rowOff>47625</xdr:rowOff>
        </xdr:to>
        <xdr:sp macro="" textlink="">
          <xdr:nvSpPr>
            <xdr:cNvPr id="79873" name="Drop Down 1" hidden="1">
              <a:extLst>
                <a:ext uri="{63B3BB69-23CF-44E3-9099-C40C66FF867C}">
                  <a14:compatExt spid="_x0000_s79873"/>
                </a:ext>
                <a:ext uri="{FF2B5EF4-FFF2-40B4-BE49-F238E27FC236}">
                  <a16:creationId xmlns:a16="http://schemas.microsoft.com/office/drawing/2014/main" id="{00000000-0008-0000-0800-000001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3638550</xdr:colOff>
          <xdr:row>16</xdr:row>
          <xdr:rowOff>0</xdr:rowOff>
        </xdr:from>
        <xdr:to>
          <xdr:col>3</xdr:col>
          <xdr:colOff>1800225</xdr:colOff>
          <xdr:row>17</xdr:row>
          <xdr:rowOff>9525</xdr:rowOff>
        </xdr:to>
        <xdr:sp macro="" textlink="">
          <xdr:nvSpPr>
            <xdr:cNvPr id="79874" name="Drop Down 2" hidden="1">
              <a:extLst>
                <a:ext uri="{63B3BB69-23CF-44E3-9099-C40C66FF867C}">
                  <a14:compatExt spid="_x0000_s79874"/>
                </a:ext>
                <a:ext uri="{FF2B5EF4-FFF2-40B4-BE49-F238E27FC236}">
                  <a16:creationId xmlns:a16="http://schemas.microsoft.com/office/drawing/2014/main" id="{00000000-0008-0000-0800-000002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38100</xdr:rowOff>
        </xdr:from>
        <xdr:to>
          <xdr:col>3</xdr:col>
          <xdr:colOff>1800225</xdr:colOff>
          <xdr:row>21</xdr:row>
          <xdr:rowOff>47625</xdr:rowOff>
        </xdr:to>
        <xdr:sp macro="" textlink="">
          <xdr:nvSpPr>
            <xdr:cNvPr id="79875" name="Drop Down 3" hidden="1">
              <a:extLst>
                <a:ext uri="{63B3BB69-23CF-44E3-9099-C40C66FF867C}">
                  <a14:compatExt spid="_x0000_s79875"/>
                </a:ext>
                <a:ext uri="{FF2B5EF4-FFF2-40B4-BE49-F238E27FC236}">
                  <a16:creationId xmlns:a16="http://schemas.microsoft.com/office/drawing/2014/main" id="{00000000-0008-0000-0800-000003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28575</xdr:rowOff>
        </xdr:from>
        <xdr:to>
          <xdr:col>3</xdr:col>
          <xdr:colOff>1800225</xdr:colOff>
          <xdr:row>25</xdr:row>
          <xdr:rowOff>38100</xdr:rowOff>
        </xdr:to>
        <xdr:sp macro="" textlink="">
          <xdr:nvSpPr>
            <xdr:cNvPr id="79876" name="Drop Down 4" hidden="1">
              <a:extLst>
                <a:ext uri="{63B3BB69-23CF-44E3-9099-C40C66FF867C}">
                  <a14:compatExt spid="_x0000_s79876"/>
                </a:ext>
                <a:ext uri="{FF2B5EF4-FFF2-40B4-BE49-F238E27FC236}">
                  <a16:creationId xmlns:a16="http://schemas.microsoft.com/office/drawing/2014/main" id="{00000000-0008-0000-0800-000004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28575</xdr:rowOff>
        </xdr:from>
        <xdr:to>
          <xdr:col>3</xdr:col>
          <xdr:colOff>1800225</xdr:colOff>
          <xdr:row>51</xdr:row>
          <xdr:rowOff>38100</xdr:rowOff>
        </xdr:to>
        <xdr:sp macro="" textlink="">
          <xdr:nvSpPr>
            <xdr:cNvPr id="79877" name="Drop Down 5" hidden="1">
              <a:extLst>
                <a:ext uri="{63B3BB69-23CF-44E3-9099-C40C66FF867C}">
                  <a14:compatExt spid="_x0000_s79877"/>
                </a:ext>
                <a:ext uri="{FF2B5EF4-FFF2-40B4-BE49-F238E27FC236}">
                  <a16:creationId xmlns:a16="http://schemas.microsoft.com/office/drawing/2014/main" id="{00000000-0008-0000-0800-000005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3629025</xdr:colOff>
          <xdr:row>54</xdr:row>
          <xdr:rowOff>38100</xdr:rowOff>
        </xdr:from>
        <xdr:to>
          <xdr:col>3</xdr:col>
          <xdr:colOff>1781175</xdr:colOff>
          <xdr:row>55</xdr:row>
          <xdr:rowOff>47625</xdr:rowOff>
        </xdr:to>
        <xdr:sp macro="" textlink="">
          <xdr:nvSpPr>
            <xdr:cNvPr id="79878" name="Drop Down 6" hidden="1">
              <a:extLst>
                <a:ext uri="{63B3BB69-23CF-44E3-9099-C40C66FF867C}">
                  <a14:compatExt spid="_x0000_s79878"/>
                </a:ext>
                <a:ext uri="{FF2B5EF4-FFF2-40B4-BE49-F238E27FC236}">
                  <a16:creationId xmlns:a16="http://schemas.microsoft.com/office/drawing/2014/main" id="{00000000-0008-0000-0800-000006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3</xdr:col>
          <xdr:colOff>1800225</xdr:colOff>
          <xdr:row>59</xdr:row>
          <xdr:rowOff>9525</xdr:rowOff>
        </xdr:to>
        <xdr:sp macro="" textlink="">
          <xdr:nvSpPr>
            <xdr:cNvPr id="79879" name="Drop Down 7" hidden="1">
              <a:extLst>
                <a:ext uri="{63B3BB69-23CF-44E3-9099-C40C66FF867C}">
                  <a14:compatExt spid="_x0000_s79879"/>
                </a:ext>
                <a:ext uri="{FF2B5EF4-FFF2-40B4-BE49-F238E27FC236}">
                  <a16:creationId xmlns:a16="http://schemas.microsoft.com/office/drawing/2014/main" id="{00000000-0008-0000-0800-000007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60</xdr:row>
          <xdr:rowOff>0</xdr:rowOff>
        </xdr:from>
        <xdr:to>
          <xdr:col>3</xdr:col>
          <xdr:colOff>1809750</xdr:colOff>
          <xdr:row>61</xdr:row>
          <xdr:rowOff>9525</xdr:rowOff>
        </xdr:to>
        <xdr:sp macro="" textlink="">
          <xdr:nvSpPr>
            <xdr:cNvPr id="79880" name="Drop Down 8" hidden="1">
              <a:extLst>
                <a:ext uri="{63B3BB69-23CF-44E3-9099-C40C66FF867C}">
                  <a14:compatExt spid="_x0000_s79880"/>
                </a:ext>
                <a:ext uri="{FF2B5EF4-FFF2-40B4-BE49-F238E27FC236}">
                  <a16:creationId xmlns:a16="http://schemas.microsoft.com/office/drawing/2014/main" id="{00000000-0008-0000-0800-000008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180975</xdr:rowOff>
        </xdr:from>
        <xdr:to>
          <xdr:col>3</xdr:col>
          <xdr:colOff>1800225</xdr:colOff>
          <xdr:row>63</xdr:row>
          <xdr:rowOff>0</xdr:rowOff>
        </xdr:to>
        <xdr:sp macro="" textlink="">
          <xdr:nvSpPr>
            <xdr:cNvPr id="79881" name="Drop Down 9" hidden="1">
              <a:extLst>
                <a:ext uri="{63B3BB69-23CF-44E3-9099-C40C66FF867C}">
                  <a14:compatExt spid="_x0000_s79881"/>
                </a:ext>
                <a:ext uri="{FF2B5EF4-FFF2-40B4-BE49-F238E27FC236}">
                  <a16:creationId xmlns:a16="http://schemas.microsoft.com/office/drawing/2014/main" id="{00000000-0008-0000-0800-000009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0</xdr:rowOff>
        </xdr:from>
        <xdr:to>
          <xdr:col>3</xdr:col>
          <xdr:colOff>1800225</xdr:colOff>
          <xdr:row>65</xdr:row>
          <xdr:rowOff>9525</xdr:rowOff>
        </xdr:to>
        <xdr:sp macro="" textlink="">
          <xdr:nvSpPr>
            <xdr:cNvPr id="79882" name="Drop Down 10" hidden="1">
              <a:extLst>
                <a:ext uri="{63B3BB69-23CF-44E3-9099-C40C66FF867C}">
                  <a14:compatExt spid="_x0000_s79882"/>
                </a:ext>
                <a:ext uri="{FF2B5EF4-FFF2-40B4-BE49-F238E27FC236}">
                  <a16:creationId xmlns:a16="http://schemas.microsoft.com/office/drawing/2014/main" id="{00000000-0008-0000-0800-00000A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3638550</xdr:colOff>
          <xdr:row>10</xdr:row>
          <xdr:rowOff>57150</xdr:rowOff>
        </xdr:from>
        <xdr:to>
          <xdr:col>3</xdr:col>
          <xdr:colOff>1800225</xdr:colOff>
          <xdr:row>10</xdr:row>
          <xdr:rowOff>257175</xdr:rowOff>
        </xdr:to>
        <xdr:sp macro="" textlink="">
          <xdr:nvSpPr>
            <xdr:cNvPr id="79883" name="Drop Down 11" hidden="1">
              <a:extLst>
                <a:ext uri="{63B3BB69-23CF-44E3-9099-C40C66FF867C}">
                  <a14:compatExt spid="_x0000_s79883"/>
                </a:ext>
                <a:ext uri="{FF2B5EF4-FFF2-40B4-BE49-F238E27FC236}">
                  <a16:creationId xmlns:a16="http://schemas.microsoft.com/office/drawing/2014/main" id="{00000000-0008-0000-0800-00000B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3</xdr:col>
          <xdr:colOff>1800225</xdr:colOff>
          <xdr:row>32</xdr:row>
          <xdr:rowOff>200025</xdr:rowOff>
        </xdr:to>
        <xdr:sp macro="" textlink="">
          <xdr:nvSpPr>
            <xdr:cNvPr id="79884" name="Drop Down 12" hidden="1">
              <a:extLst>
                <a:ext uri="{63B3BB69-23CF-44E3-9099-C40C66FF867C}">
                  <a14:compatExt spid="_x0000_s79884"/>
                </a:ext>
                <a:ext uri="{FF2B5EF4-FFF2-40B4-BE49-F238E27FC236}">
                  <a16:creationId xmlns:a16="http://schemas.microsoft.com/office/drawing/2014/main" id="{00000000-0008-0000-0800-00000C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228600</xdr:rowOff>
        </xdr:from>
        <xdr:to>
          <xdr:col>3</xdr:col>
          <xdr:colOff>1800225</xdr:colOff>
          <xdr:row>33</xdr:row>
          <xdr:rowOff>200025</xdr:rowOff>
        </xdr:to>
        <xdr:sp macro="" textlink="">
          <xdr:nvSpPr>
            <xdr:cNvPr id="79885" name="Drop Down 13" hidden="1">
              <a:extLst>
                <a:ext uri="{63B3BB69-23CF-44E3-9099-C40C66FF867C}">
                  <a14:compatExt spid="_x0000_s79885"/>
                </a:ext>
                <a:ext uri="{FF2B5EF4-FFF2-40B4-BE49-F238E27FC236}">
                  <a16:creationId xmlns:a16="http://schemas.microsoft.com/office/drawing/2014/main" id="{00000000-0008-0000-0800-00000D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3</xdr:col>
          <xdr:colOff>1800225</xdr:colOff>
          <xdr:row>34</xdr:row>
          <xdr:rowOff>200025</xdr:rowOff>
        </xdr:to>
        <xdr:sp macro="" textlink="">
          <xdr:nvSpPr>
            <xdr:cNvPr id="79886" name="Drop Down 14" hidden="1">
              <a:extLst>
                <a:ext uri="{63B3BB69-23CF-44E3-9099-C40C66FF867C}">
                  <a14:compatExt spid="_x0000_s79886"/>
                </a:ext>
                <a:ext uri="{FF2B5EF4-FFF2-40B4-BE49-F238E27FC236}">
                  <a16:creationId xmlns:a16="http://schemas.microsoft.com/office/drawing/2014/main" id="{00000000-0008-0000-0800-00000E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228600</xdr:rowOff>
        </xdr:from>
        <xdr:to>
          <xdr:col>3</xdr:col>
          <xdr:colOff>1800225</xdr:colOff>
          <xdr:row>35</xdr:row>
          <xdr:rowOff>200025</xdr:rowOff>
        </xdr:to>
        <xdr:sp macro="" textlink="">
          <xdr:nvSpPr>
            <xdr:cNvPr id="79887" name="Drop Down 15" hidden="1">
              <a:extLst>
                <a:ext uri="{63B3BB69-23CF-44E3-9099-C40C66FF867C}">
                  <a14:compatExt spid="_x0000_s79887"/>
                </a:ext>
                <a:ext uri="{FF2B5EF4-FFF2-40B4-BE49-F238E27FC236}">
                  <a16:creationId xmlns:a16="http://schemas.microsoft.com/office/drawing/2014/main" id="{00000000-0008-0000-0800-00000F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219075</xdr:rowOff>
        </xdr:from>
        <xdr:to>
          <xdr:col>3</xdr:col>
          <xdr:colOff>1800225</xdr:colOff>
          <xdr:row>36</xdr:row>
          <xdr:rowOff>190500</xdr:rowOff>
        </xdr:to>
        <xdr:sp macro="" textlink="">
          <xdr:nvSpPr>
            <xdr:cNvPr id="79888" name="Drop Down 16" hidden="1">
              <a:extLst>
                <a:ext uri="{63B3BB69-23CF-44E3-9099-C40C66FF867C}">
                  <a14:compatExt spid="_x0000_s79888"/>
                </a:ext>
                <a:ext uri="{FF2B5EF4-FFF2-40B4-BE49-F238E27FC236}">
                  <a16:creationId xmlns:a16="http://schemas.microsoft.com/office/drawing/2014/main" id="{00000000-0008-0000-0800-000010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219075</xdr:rowOff>
        </xdr:from>
        <xdr:to>
          <xdr:col>3</xdr:col>
          <xdr:colOff>1800225</xdr:colOff>
          <xdr:row>37</xdr:row>
          <xdr:rowOff>190500</xdr:rowOff>
        </xdr:to>
        <xdr:sp macro="" textlink="">
          <xdr:nvSpPr>
            <xdr:cNvPr id="79889" name="Drop Down 17" hidden="1">
              <a:extLst>
                <a:ext uri="{63B3BB69-23CF-44E3-9099-C40C66FF867C}">
                  <a14:compatExt spid="_x0000_s79889"/>
                </a:ext>
                <a:ext uri="{FF2B5EF4-FFF2-40B4-BE49-F238E27FC236}">
                  <a16:creationId xmlns:a16="http://schemas.microsoft.com/office/drawing/2014/main" id="{00000000-0008-0000-0800-000011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219075</xdr:rowOff>
        </xdr:from>
        <xdr:to>
          <xdr:col>3</xdr:col>
          <xdr:colOff>1800225</xdr:colOff>
          <xdr:row>38</xdr:row>
          <xdr:rowOff>190500</xdr:rowOff>
        </xdr:to>
        <xdr:sp macro="" textlink="">
          <xdr:nvSpPr>
            <xdr:cNvPr id="79890" name="Drop Down 18" hidden="1">
              <a:extLst>
                <a:ext uri="{63B3BB69-23CF-44E3-9099-C40C66FF867C}">
                  <a14:compatExt spid="_x0000_s79890"/>
                </a:ext>
                <a:ext uri="{FF2B5EF4-FFF2-40B4-BE49-F238E27FC236}">
                  <a16:creationId xmlns:a16="http://schemas.microsoft.com/office/drawing/2014/main" id="{00000000-0008-0000-0800-000012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3</xdr:col>
          <xdr:colOff>1800225</xdr:colOff>
          <xdr:row>39</xdr:row>
          <xdr:rowOff>200025</xdr:rowOff>
        </xdr:to>
        <xdr:sp macro="" textlink="">
          <xdr:nvSpPr>
            <xdr:cNvPr id="79891" name="Drop Down 19" hidden="1">
              <a:extLst>
                <a:ext uri="{63B3BB69-23CF-44E3-9099-C40C66FF867C}">
                  <a14:compatExt spid="_x0000_s79891"/>
                </a:ext>
                <a:ext uri="{FF2B5EF4-FFF2-40B4-BE49-F238E27FC236}">
                  <a16:creationId xmlns:a16="http://schemas.microsoft.com/office/drawing/2014/main" id="{00000000-0008-0000-0800-000013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9525</xdr:rowOff>
        </xdr:from>
        <xdr:to>
          <xdr:col>3</xdr:col>
          <xdr:colOff>1800225</xdr:colOff>
          <xdr:row>40</xdr:row>
          <xdr:rowOff>209550</xdr:rowOff>
        </xdr:to>
        <xdr:sp macro="" textlink="">
          <xdr:nvSpPr>
            <xdr:cNvPr id="79892" name="Drop Down 20" hidden="1">
              <a:extLst>
                <a:ext uri="{63B3BB69-23CF-44E3-9099-C40C66FF867C}">
                  <a14:compatExt spid="_x0000_s79892"/>
                </a:ext>
                <a:ext uri="{FF2B5EF4-FFF2-40B4-BE49-F238E27FC236}">
                  <a16:creationId xmlns:a16="http://schemas.microsoft.com/office/drawing/2014/main" id="{00000000-0008-0000-0800-000014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3</xdr:col>
          <xdr:colOff>1800225</xdr:colOff>
          <xdr:row>41</xdr:row>
          <xdr:rowOff>200025</xdr:rowOff>
        </xdr:to>
        <xdr:sp macro="" textlink="">
          <xdr:nvSpPr>
            <xdr:cNvPr id="79893" name="Drop Down 21" hidden="1">
              <a:extLst>
                <a:ext uri="{63B3BB69-23CF-44E3-9099-C40C66FF867C}">
                  <a14:compatExt spid="_x0000_s79893"/>
                </a:ext>
                <a:ext uri="{FF2B5EF4-FFF2-40B4-BE49-F238E27FC236}">
                  <a16:creationId xmlns:a16="http://schemas.microsoft.com/office/drawing/2014/main" id="{00000000-0008-0000-0800-000015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3</xdr:col>
          <xdr:colOff>1800225</xdr:colOff>
          <xdr:row>42</xdr:row>
          <xdr:rowOff>200025</xdr:rowOff>
        </xdr:to>
        <xdr:sp macro="" textlink="">
          <xdr:nvSpPr>
            <xdr:cNvPr id="79894" name="Drop Down 22" hidden="1">
              <a:extLst>
                <a:ext uri="{63B3BB69-23CF-44E3-9099-C40C66FF867C}">
                  <a14:compatExt spid="_x0000_s79894"/>
                </a:ext>
                <a:ext uri="{FF2B5EF4-FFF2-40B4-BE49-F238E27FC236}">
                  <a16:creationId xmlns:a16="http://schemas.microsoft.com/office/drawing/2014/main" id="{00000000-0008-0000-0800-000016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3</xdr:col>
          <xdr:colOff>1800225</xdr:colOff>
          <xdr:row>44</xdr:row>
          <xdr:rowOff>200025</xdr:rowOff>
        </xdr:to>
        <xdr:sp macro="" textlink="">
          <xdr:nvSpPr>
            <xdr:cNvPr id="79895" name="Drop Down 23" hidden="1">
              <a:extLst>
                <a:ext uri="{63B3BB69-23CF-44E3-9099-C40C66FF867C}">
                  <a14:compatExt spid="_x0000_s79895"/>
                </a:ext>
                <a:ext uri="{FF2B5EF4-FFF2-40B4-BE49-F238E27FC236}">
                  <a16:creationId xmlns:a16="http://schemas.microsoft.com/office/drawing/2014/main" id="{00000000-0008-0000-0800-000017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43</xdr:row>
          <xdr:rowOff>9525</xdr:rowOff>
        </xdr:from>
        <xdr:to>
          <xdr:col>3</xdr:col>
          <xdr:colOff>1800225</xdr:colOff>
          <xdr:row>43</xdr:row>
          <xdr:rowOff>200025</xdr:rowOff>
        </xdr:to>
        <xdr:sp macro="" textlink="">
          <xdr:nvSpPr>
            <xdr:cNvPr id="79896" name="Drop Down 24" hidden="1">
              <a:extLst>
                <a:ext uri="{63B3BB69-23CF-44E3-9099-C40C66FF867C}">
                  <a14:compatExt spid="_x0000_s79896"/>
                </a:ext>
                <a:ext uri="{FF2B5EF4-FFF2-40B4-BE49-F238E27FC236}">
                  <a16:creationId xmlns:a16="http://schemas.microsoft.com/office/drawing/2014/main" id="{00000000-0008-0000-0800-000018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3</xdr:col>
          <xdr:colOff>1800225</xdr:colOff>
          <xdr:row>45</xdr:row>
          <xdr:rowOff>209550</xdr:rowOff>
        </xdr:to>
        <xdr:sp macro="" textlink="">
          <xdr:nvSpPr>
            <xdr:cNvPr id="79897" name="Drop Down 25" hidden="1">
              <a:extLst>
                <a:ext uri="{63B3BB69-23CF-44E3-9099-C40C66FF867C}">
                  <a14:compatExt spid="_x0000_s79897"/>
                </a:ext>
                <a:ext uri="{FF2B5EF4-FFF2-40B4-BE49-F238E27FC236}">
                  <a16:creationId xmlns:a16="http://schemas.microsoft.com/office/drawing/2014/main" id="{00000000-0008-0000-0800-000019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0</xdr:rowOff>
        </xdr:from>
        <xdr:to>
          <xdr:col>3</xdr:col>
          <xdr:colOff>1800225</xdr:colOff>
          <xdr:row>46</xdr:row>
          <xdr:rowOff>209550</xdr:rowOff>
        </xdr:to>
        <xdr:sp macro="" textlink="">
          <xdr:nvSpPr>
            <xdr:cNvPr id="79898" name="Drop Down 26" hidden="1">
              <a:extLst>
                <a:ext uri="{63B3BB69-23CF-44E3-9099-C40C66FF867C}">
                  <a14:compatExt spid="_x0000_s79898"/>
                </a:ext>
                <a:ext uri="{FF2B5EF4-FFF2-40B4-BE49-F238E27FC236}">
                  <a16:creationId xmlns:a16="http://schemas.microsoft.com/office/drawing/2014/main" id="{00000000-0008-0000-0800-00001A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3</xdr:col>
          <xdr:colOff>1800225</xdr:colOff>
          <xdr:row>47</xdr:row>
          <xdr:rowOff>200025</xdr:rowOff>
        </xdr:to>
        <xdr:sp macro="" textlink="">
          <xdr:nvSpPr>
            <xdr:cNvPr id="79899" name="Drop Down 27" hidden="1">
              <a:extLst>
                <a:ext uri="{63B3BB69-23CF-44E3-9099-C40C66FF867C}">
                  <a14:compatExt spid="_x0000_s79899"/>
                </a:ext>
                <a:ext uri="{FF2B5EF4-FFF2-40B4-BE49-F238E27FC236}">
                  <a16:creationId xmlns:a16="http://schemas.microsoft.com/office/drawing/2014/main" id="{00000000-0008-0000-0800-00001B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xdr:row>
          <xdr:rowOff>38100</xdr:rowOff>
        </xdr:from>
        <xdr:to>
          <xdr:col>3</xdr:col>
          <xdr:colOff>1809750</xdr:colOff>
          <xdr:row>29</xdr:row>
          <xdr:rowOff>47625</xdr:rowOff>
        </xdr:to>
        <xdr:sp macro="" textlink="">
          <xdr:nvSpPr>
            <xdr:cNvPr id="79901" name="Drop Down 29" hidden="1">
              <a:extLst>
                <a:ext uri="{63B3BB69-23CF-44E3-9099-C40C66FF867C}">
                  <a14:compatExt spid="_x0000_s79901"/>
                </a:ext>
                <a:ext uri="{FF2B5EF4-FFF2-40B4-BE49-F238E27FC236}">
                  <a16:creationId xmlns:a16="http://schemas.microsoft.com/office/drawing/2014/main" id="{00000000-0008-0000-0800-00001D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3638550</xdr:colOff>
          <xdr:row>6</xdr:row>
          <xdr:rowOff>0</xdr:rowOff>
        </xdr:from>
        <xdr:to>
          <xdr:col>3</xdr:col>
          <xdr:colOff>1800225</xdr:colOff>
          <xdr:row>7</xdr:row>
          <xdr:rowOff>9525</xdr:rowOff>
        </xdr:to>
        <xdr:sp macro="" textlink="">
          <xdr:nvSpPr>
            <xdr:cNvPr id="79902" name="Drop Down 30" hidden="1">
              <a:extLst>
                <a:ext uri="{63B3BB69-23CF-44E3-9099-C40C66FF867C}">
                  <a14:compatExt spid="_x0000_s79902"/>
                </a:ext>
                <a:ext uri="{FF2B5EF4-FFF2-40B4-BE49-F238E27FC236}">
                  <a16:creationId xmlns:a16="http://schemas.microsoft.com/office/drawing/2014/main" id="{00000000-0008-0000-0800-00001E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66</xdr:row>
          <xdr:rowOff>0</xdr:rowOff>
        </xdr:from>
        <xdr:to>
          <xdr:col>3</xdr:col>
          <xdr:colOff>1809750</xdr:colOff>
          <xdr:row>67</xdr:row>
          <xdr:rowOff>9525</xdr:rowOff>
        </xdr:to>
        <xdr:sp macro="" textlink="">
          <xdr:nvSpPr>
            <xdr:cNvPr id="79903" name="Drop Down 31" hidden="1">
              <a:extLst>
                <a:ext uri="{63B3BB69-23CF-44E3-9099-C40C66FF867C}">
                  <a14:compatExt spid="_x0000_s79903"/>
                </a:ext>
                <a:ext uri="{FF2B5EF4-FFF2-40B4-BE49-F238E27FC236}">
                  <a16:creationId xmlns:a16="http://schemas.microsoft.com/office/drawing/2014/main" id="{00000000-0008-0000-0800-00001F3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2</xdr:row>
          <xdr:rowOff>38100</xdr:rowOff>
        </xdr:from>
        <xdr:to>
          <xdr:col>3</xdr:col>
          <xdr:colOff>1809750</xdr:colOff>
          <xdr:row>3</xdr:row>
          <xdr:rowOff>47625</xdr:rowOff>
        </xdr:to>
        <xdr:sp macro="" textlink="">
          <xdr:nvSpPr>
            <xdr:cNvPr id="83969" name="Drop Down 1" hidden="1">
              <a:extLst>
                <a:ext uri="{63B3BB69-23CF-44E3-9099-C40C66FF867C}">
                  <a14:compatExt spid="_x0000_s83969"/>
                </a:ext>
                <a:ext uri="{FF2B5EF4-FFF2-40B4-BE49-F238E27FC236}">
                  <a16:creationId xmlns:a16="http://schemas.microsoft.com/office/drawing/2014/main" id="{00000000-0008-0000-0900-0000014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57150</xdr:rowOff>
        </xdr:from>
        <xdr:to>
          <xdr:col>3</xdr:col>
          <xdr:colOff>1809750</xdr:colOff>
          <xdr:row>9</xdr:row>
          <xdr:rowOff>66675</xdr:rowOff>
        </xdr:to>
        <xdr:sp macro="" textlink="">
          <xdr:nvSpPr>
            <xdr:cNvPr id="83970" name="Drop Down 2" hidden="1">
              <a:extLst>
                <a:ext uri="{63B3BB69-23CF-44E3-9099-C40C66FF867C}">
                  <a14:compatExt spid="_x0000_s83970"/>
                </a:ext>
                <a:ext uri="{FF2B5EF4-FFF2-40B4-BE49-F238E27FC236}">
                  <a16:creationId xmlns:a16="http://schemas.microsoft.com/office/drawing/2014/main" id="{00000000-0008-0000-0900-0000024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28575</xdr:rowOff>
        </xdr:from>
        <xdr:to>
          <xdr:col>3</xdr:col>
          <xdr:colOff>1809750</xdr:colOff>
          <xdr:row>14</xdr:row>
          <xdr:rowOff>38100</xdr:rowOff>
        </xdr:to>
        <xdr:sp macro="" textlink="">
          <xdr:nvSpPr>
            <xdr:cNvPr id="83971" name="Drop Down 3" hidden="1">
              <a:extLst>
                <a:ext uri="{63B3BB69-23CF-44E3-9099-C40C66FF867C}">
                  <a14:compatExt spid="_x0000_s83971"/>
                </a:ext>
                <a:ext uri="{FF2B5EF4-FFF2-40B4-BE49-F238E27FC236}">
                  <a16:creationId xmlns:a16="http://schemas.microsoft.com/office/drawing/2014/main" id="{00000000-0008-0000-0900-0000034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38100</xdr:rowOff>
        </xdr:from>
        <xdr:to>
          <xdr:col>3</xdr:col>
          <xdr:colOff>1809750</xdr:colOff>
          <xdr:row>18</xdr:row>
          <xdr:rowOff>47625</xdr:rowOff>
        </xdr:to>
        <xdr:sp macro="" textlink="">
          <xdr:nvSpPr>
            <xdr:cNvPr id="83972" name="Drop Down 4" hidden="1">
              <a:extLst>
                <a:ext uri="{63B3BB69-23CF-44E3-9099-C40C66FF867C}">
                  <a14:compatExt spid="_x0000_s83972"/>
                </a:ext>
                <a:ext uri="{FF2B5EF4-FFF2-40B4-BE49-F238E27FC236}">
                  <a16:creationId xmlns:a16="http://schemas.microsoft.com/office/drawing/2014/main" id="{00000000-0008-0000-0900-0000044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28575</xdr:rowOff>
        </xdr:from>
        <xdr:to>
          <xdr:col>3</xdr:col>
          <xdr:colOff>1809750</xdr:colOff>
          <xdr:row>22</xdr:row>
          <xdr:rowOff>38100</xdr:rowOff>
        </xdr:to>
        <xdr:sp macro="" textlink="">
          <xdr:nvSpPr>
            <xdr:cNvPr id="83973" name="Drop Down 5" hidden="1">
              <a:extLst>
                <a:ext uri="{63B3BB69-23CF-44E3-9099-C40C66FF867C}">
                  <a14:compatExt spid="_x0000_s83973"/>
                </a:ext>
                <a:ext uri="{FF2B5EF4-FFF2-40B4-BE49-F238E27FC236}">
                  <a16:creationId xmlns:a16="http://schemas.microsoft.com/office/drawing/2014/main" id="{00000000-0008-0000-0900-0000054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28575</xdr:rowOff>
        </xdr:from>
        <xdr:to>
          <xdr:col>3</xdr:col>
          <xdr:colOff>1809750</xdr:colOff>
          <xdr:row>26</xdr:row>
          <xdr:rowOff>38100</xdr:rowOff>
        </xdr:to>
        <xdr:sp macro="" textlink="">
          <xdr:nvSpPr>
            <xdr:cNvPr id="83974" name="Drop Down 6" hidden="1">
              <a:extLst>
                <a:ext uri="{63B3BB69-23CF-44E3-9099-C40C66FF867C}">
                  <a14:compatExt spid="_x0000_s83974"/>
                </a:ext>
                <a:ext uri="{FF2B5EF4-FFF2-40B4-BE49-F238E27FC236}">
                  <a16:creationId xmlns:a16="http://schemas.microsoft.com/office/drawing/2014/main" id="{00000000-0008-0000-0900-0000064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29</xdr:row>
          <xdr:rowOff>38100</xdr:rowOff>
        </xdr:from>
        <xdr:to>
          <xdr:col>3</xdr:col>
          <xdr:colOff>1809750</xdr:colOff>
          <xdr:row>30</xdr:row>
          <xdr:rowOff>47625</xdr:rowOff>
        </xdr:to>
        <xdr:sp macro="" textlink="">
          <xdr:nvSpPr>
            <xdr:cNvPr id="83975" name="Drop Down 7" hidden="1">
              <a:extLst>
                <a:ext uri="{63B3BB69-23CF-44E3-9099-C40C66FF867C}">
                  <a14:compatExt spid="_x0000_s83975"/>
                </a:ext>
                <a:ext uri="{FF2B5EF4-FFF2-40B4-BE49-F238E27FC236}">
                  <a16:creationId xmlns:a16="http://schemas.microsoft.com/office/drawing/2014/main" id="{00000000-0008-0000-0900-0000074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36</xdr:row>
          <xdr:rowOff>0</xdr:rowOff>
        </xdr:from>
        <xdr:to>
          <xdr:col>3</xdr:col>
          <xdr:colOff>1809750</xdr:colOff>
          <xdr:row>37</xdr:row>
          <xdr:rowOff>9525</xdr:rowOff>
        </xdr:to>
        <xdr:sp macro="" textlink="">
          <xdr:nvSpPr>
            <xdr:cNvPr id="83976" name="Drop Down 8" hidden="1">
              <a:extLst>
                <a:ext uri="{63B3BB69-23CF-44E3-9099-C40C66FF867C}">
                  <a14:compatExt spid="_x0000_s83976"/>
                </a:ext>
                <a:ext uri="{FF2B5EF4-FFF2-40B4-BE49-F238E27FC236}">
                  <a16:creationId xmlns:a16="http://schemas.microsoft.com/office/drawing/2014/main" id="{00000000-0008-0000-0900-0000084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38</xdr:row>
          <xdr:rowOff>0</xdr:rowOff>
        </xdr:from>
        <xdr:to>
          <xdr:col>3</xdr:col>
          <xdr:colOff>1809750</xdr:colOff>
          <xdr:row>39</xdr:row>
          <xdr:rowOff>9525</xdr:rowOff>
        </xdr:to>
        <xdr:sp macro="" textlink="">
          <xdr:nvSpPr>
            <xdr:cNvPr id="83977" name="Drop Down 9" hidden="1">
              <a:extLst>
                <a:ext uri="{63B3BB69-23CF-44E3-9099-C40C66FF867C}">
                  <a14:compatExt spid="_x0000_s83977"/>
                </a:ext>
                <a:ext uri="{FF2B5EF4-FFF2-40B4-BE49-F238E27FC236}">
                  <a16:creationId xmlns:a16="http://schemas.microsoft.com/office/drawing/2014/main" id="{00000000-0008-0000-0900-0000094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39</xdr:row>
          <xdr:rowOff>180975</xdr:rowOff>
        </xdr:from>
        <xdr:to>
          <xdr:col>3</xdr:col>
          <xdr:colOff>1809750</xdr:colOff>
          <xdr:row>41</xdr:row>
          <xdr:rowOff>0</xdr:rowOff>
        </xdr:to>
        <xdr:sp macro="" textlink="">
          <xdr:nvSpPr>
            <xdr:cNvPr id="83978" name="Drop Down 10" hidden="1">
              <a:extLst>
                <a:ext uri="{63B3BB69-23CF-44E3-9099-C40C66FF867C}">
                  <a14:compatExt spid="_x0000_s83978"/>
                </a:ext>
                <a:ext uri="{FF2B5EF4-FFF2-40B4-BE49-F238E27FC236}">
                  <a16:creationId xmlns:a16="http://schemas.microsoft.com/office/drawing/2014/main" id="{00000000-0008-0000-0900-00000A4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42</xdr:row>
          <xdr:rowOff>0</xdr:rowOff>
        </xdr:from>
        <xdr:to>
          <xdr:col>3</xdr:col>
          <xdr:colOff>1809750</xdr:colOff>
          <xdr:row>43</xdr:row>
          <xdr:rowOff>9525</xdr:rowOff>
        </xdr:to>
        <xdr:sp macro="" textlink="">
          <xdr:nvSpPr>
            <xdr:cNvPr id="83979" name="Drop Down 11" hidden="1">
              <a:extLst>
                <a:ext uri="{63B3BB69-23CF-44E3-9099-C40C66FF867C}">
                  <a14:compatExt spid="_x0000_s83979"/>
                </a:ext>
                <a:ext uri="{FF2B5EF4-FFF2-40B4-BE49-F238E27FC236}">
                  <a16:creationId xmlns:a16="http://schemas.microsoft.com/office/drawing/2014/main" id="{00000000-0008-0000-0900-00000B4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44</xdr:row>
          <xdr:rowOff>0</xdr:rowOff>
        </xdr:from>
        <xdr:to>
          <xdr:col>3</xdr:col>
          <xdr:colOff>1809750</xdr:colOff>
          <xdr:row>45</xdr:row>
          <xdr:rowOff>9525</xdr:rowOff>
        </xdr:to>
        <xdr:sp macro="" textlink="">
          <xdr:nvSpPr>
            <xdr:cNvPr id="83980" name="Drop Down 12" hidden="1">
              <a:extLst>
                <a:ext uri="{63B3BB69-23CF-44E3-9099-C40C66FF867C}">
                  <a14:compatExt spid="_x0000_s83980"/>
                </a:ext>
                <a:ext uri="{FF2B5EF4-FFF2-40B4-BE49-F238E27FC236}">
                  <a16:creationId xmlns:a16="http://schemas.microsoft.com/office/drawing/2014/main" id="{00000000-0008-0000-0900-00000C4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38100</xdr:rowOff>
        </xdr:from>
        <xdr:to>
          <xdr:col>3</xdr:col>
          <xdr:colOff>1809750</xdr:colOff>
          <xdr:row>33</xdr:row>
          <xdr:rowOff>47625</xdr:rowOff>
        </xdr:to>
        <xdr:sp macro="" textlink="">
          <xdr:nvSpPr>
            <xdr:cNvPr id="83981" name="Drop Down 13" hidden="1">
              <a:extLst>
                <a:ext uri="{63B3BB69-23CF-44E3-9099-C40C66FF867C}">
                  <a14:compatExt spid="_x0000_s83981"/>
                </a:ext>
                <a:ext uri="{FF2B5EF4-FFF2-40B4-BE49-F238E27FC236}">
                  <a16:creationId xmlns:a16="http://schemas.microsoft.com/office/drawing/2014/main" id="{00000000-0008-0000-0900-00000D4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4</xdr:col>
      <xdr:colOff>228599</xdr:colOff>
      <xdr:row>0</xdr:row>
      <xdr:rowOff>104775</xdr:rowOff>
    </xdr:from>
    <xdr:to>
      <xdr:col>12</xdr:col>
      <xdr:colOff>534986</xdr:colOff>
      <xdr:row>16</xdr:row>
      <xdr:rowOff>166687</xdr:rowOff>
    </xdr:to>
    <xdr:graphicFrame macro="">
      <xdr:nvGraphicFramePr>
        <xdr:cNvPr id="2" name="Chart 1">
          <a:extLst>
            <a:ext uri="{FF2B5EF4-FFF2-40B4-BE49-F238E27FC236}">
              <a16:creationId xmlns:a16="http://schemas.microsoft.com/office/drawing/2014/main" id="{00000000-0008-0000-1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171450</xdr:colOff>
      <xdr:row>20</xdr:row>
      <xdr:rowOff>14286</xdr:rowOff>
    </xdr:from>
    <xdr:to>
      <xdr:col>19</xdr:col>
      <xdr:colOff>566738</xdr:colOff>
      <xdr:row>38</xdr:row>
      <xdr:rowOff>114299</xdr:rowOff>
    </xdr:to>
    <xdr:graphicFrame macro="">
      <xdr:nvGraphicFramePr>
        <xdr:cNvPr id="3" name="Chart 2">
          <a:extLst>
            <a:ext uri="{FF2B5EF4-FFF2-40B4-BE49-F238E27FC236}">
              <a16:creationId xmlns:a16="http://schemas.microsoft.com/office/drawing/2014/main" id="{00000000-0008-0000-1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190499</xdr:colOff>
      <xdr:row>39</xdr:row>
      <xdr:rowOff>52387</xdr:rowOff>
    </xdr:from>
    <xdr:to>
      <xdr:col>19</xdr:col>
      <xdr:colOff>561974</xdr:colOff>
      <xdr:row>54</xdr:row>
      <xdr:rowOff>171451</xdr:rowOff>
    </xdr:to>
    <xdr:graphicFrame macro="">
      <xdr:nvGraphicFramePr>
        <xdr:cNvPr id="4" name="Chart 3">
          <a:extLst>
            <a:ext uri="{FF2B5EF4-FFF2-40B4-BE49-F238E27FC236}">
              <a16:creationId xmlns:a16="http://schemas.microsoft.com/office/drawing/2014/main" id="{00000000-0008-0000-1E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ctrlProp" Target="../ctrlProps/ctrlProp30.x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26" Type="http://schemas.openxmlformats.org/officeDocument/2006/relationships/ctrlProp" Target="../ctrlProps/ctrlProp65.xml"/><Relationship Id="rId3" Type="http://schemas.openxmlformats.org/officeDocument/2006/relationships/vmlDrawing" Target="../drawings/vmlDrawing3.vml"/><Relationship Id="rId21" Type="http://schemas.openxmlformats.org/officeDocument/2006/relationships/ctrlProp" Target="../ctrlProps/ctrlProp60.x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5" Type="http://schemas.openxmlformats.org/officeDocument/2006/relationships/ctrlProp" Target="../ctrlProps/ctrlProp64.xml"/><Relationship Id="rId2" Type="http://schemas.openxmlformats.org/officeDocument/2006/relationships/drawing" Target="../drawings/drawing4.xml"/><Relationship Id="rId16" Type="http://schemas.openxmlformats.org/officeDocument/2006/relationships/ctrlProp" Target="../ctrlProps/ctrlProp55.xml"/><Relationship Id="rId20" Type="http://schemas.openxmlformats.org/officeDocument/2006/relationships/ctrlProp" Target="../ctrlProps/ctrlProp59.xml"/><Relationship Id="rId29" Type="http://schemas.openxmlformats.org/officeDocument/2006/relationships/ctrlProp" Target="../ctrlProps/ctrlProp68.xml"/><Relationship Id="rId1" Type="http://schemas.openxmlformats.org/officeDocument/2006/relationships/printerSettings" Target="../printerSettings/printerSettings2.bin"/><Relationship Id="rId6" Type="http://schemas.openxmlformats.org/officeDocument/2006/relationships/ctrlProp" Target="../ctrlProps/ctrlProp45.xml"/><Relationship Id="rId11" Type="http://schemas.openxmlformats.org/officeDocument/2006/relationships/ctrlProp" Target="../ctrlProps/ctrlProp50.xml"/><Relationship Id="rId24" Type="http://schemas.openxmlformats.org/officeDocument/2006/relationships/ctrlProp" Target="../ctrlProps/ctrlProp63.xml"/><Relationship Id="rId5" Type="http://schemas.openxmlformats.org/officeDocument/2006/relationships/ctrlProp" Target="../ctrlProps/ctrlProp44.xml"/><Relationship Id="rId15" Type="http://schemas.openxmlformats.org/officeDocument/2006/relationships/ctrlProp" Target="../ctrlProps/ctrlProp54.xml"/><Relationship Id="rId23" Type="http://schemas.openxmlformats.org/officeDocument/2006/relationships/ctrlProp" Target="../ctrlProps/ctrlProp62.xml"/><Relationship Id="rId28" Type="http://schemas.openxmlformats.org/officeDocument/2006/relationships/ctrlProp" Target="../ctrlProps/ctrlProp67.xml"/><Relationship Id="rId10" Type="http://schemas.openxmlformats.org/officeDocument/2006/relationships/ctrlProp" Target="../ctrlProps/ctrlProp49.xml"/><Relationship Id="rId19" Type="http://schemas.openxmlformats.org/officeDocument/2006/relationships/ctrlProp" Target="../ctrlProps/ctrlProp58.xml"/><Relationship Id="rId31" Type="http://schemas.openxmlformats.org/officeDocument/2006/relationships/ctrlProp" Target="../ctrlProps/ctrlProp70.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 Id="rId27" Type="http://schemas.openxmlformats.org/officeDocument/2006/relationships/ctrlProp" Target="../ctrlProps/ctrlProp66.xml"/><Relationship Id="rId30" Type="http://schemas.openxmlformats.org/officeDocument/2006/relationships/ctrlProp" Target="../ctrlProps/ctrlProp6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6.xml"/><Relationship Id="rId13" Type="http://schemas.openxmlformats.org/officeDocument/2006/relationships/ctrlProp" Target="../ctrlProps/ctrlProp81.xml"/><Relationship Id="rId18" Type="http://schemas.openxmlformats.org/officeDocument/2006/relationships/ctrlProp" Target="../ctrlProps/ctrlProp86.xml"/><Relationship Id="rId3" Type="http://schemas.openxmlformats.org/officeDocument/2006/relationships/ctrlProp" Target="../ctrlProps/ctrlProp71.xml"/><Relationship Id="rId7" Type="http://schemas.openxmlformats.org/officeDocument/2006/relationships/ctrlProp" Target="../ctrlProps/ctrlProp75.xml"/><Relationship Id="rId12" Type="http://schemas.openxmlformats.org/officeDocument/2006/relationships/ctrlProp" Target="../ctrlProps/ctrlProp80.xml"/><Relationship Id="rId17" Type="http://schemas.openxmlformats.org/officeDocument/2006/relationships/ctrlProp" Target="../ctrlProps/ctrlProp85.xml"/><Relationship Id="rId2" Type="http://schemas.openxmlformats.org/officeDocument/2006/relationships/vmlDrawing" Target="../drawings/vmlDrawing4.vml"/><Relationship Id="rId16" Type="http://schemas.openxmlformats.org/officeDocument/2006/relationships/ctrlProp" Target="../ctrlProps/ctrlProp84.xml"/><Relationship Id="rId1" Type="http://schemas.openxmlformats.org/officeDocument/2006/relationships/drawing" Target="../drawings/drawing5.xml"/><Relationship Id="rId6" Type="http://schemas.openxmlformats.org/officeDocument/2006/relationships/ctrlProp" Target="../ctrlProps/ctrlProp74.xml"/><Relationship Id="rId11" Type="http://schemas.openxmlformats.org/officeDocument/2006/relationships/ctrlProp" Target="../ctrlProps/ctrlProp79.xml"/><Relationship Id="rId5" Type="http://schemas.openxmlformats.org/officeDocument/2006/relationships/ctrlProp" Target="../ctrlProps/ctrlProp73.xml"/><Relationship Id="rId15" Type="http://schemas.openxmlformats.org/officeDocument/2006/relationships/ctrlProp" Target="../ctrlProps/ctrlProp83.xml"/><Relationship Id="rId10" Type="http://schemas.openxmlformats.org/officeDocument/2006/relationships/ctrlProp" Target="../ctrlProps/ctrlProp78.xml"/><Relationship Id="rId19" Type="http://schemas.openxmlformats.org/officeDocument/2006/relationships/ctrlProp" Target="../ctrlProps/ctrlProp87.xml"/><Relationship Id="rId4" Type="http://schemas.openxmlformats.org/officeDocument/2006/relationships/ctrlProp" Target="../ctrlProps/ctrlProp72.xml"/><Relationship Id="rId9" Type="http://schemas.openxmlformats.org/officeDocument/2006/relationships/ctrlProp" Target="../ctrlProps/ctrlProp77.xml"/><Relationship Id="rId14" Type="http://schemas.openxmlformats.org/officeDocument/2006/relationships/ctrlProp" Target="../ctrlProps/ctrlProp8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93.xml"/><Relationship Id="rId13" Type="http://schemas.openxmlformats.org/officeDocument/2006/relationships/ctrlProp" Target="../ctrlProps/ctrlProp98.xml"/><Relationship Id="rId18" Type="http://schemas.openxmlformats.org/officeDocument/2006/relationships/ctrlProp" Target="../ctrlProps/ctrlProp103.xml"/><Relationship Id="rId26" Type="http://schemas.openxmlformats.org/officeDocument/2006/relationships/ctrlProp" Target="../ctrlProps/ctrlProp111.xml"/><Relationship Id="rId3" Type="http://schemas.openxmlformats.org/officeDocument/2006/relationships/ctrlProp" Target="../ctrlProps/ctrlProp88.xml"/><Relationship Id="rId21" Type="http://schemas.openxmlformats.org/officeDocument/2006/relationships/ctrlProp" Target="../ctrlProps/ctrlProp106.xml"/><Relationship Id="rId7" Type="http://schemas.openxmlformats.org/officeDocument/2006/relationships/ctrlProp" Target="../ctrlProps/ctrlProp92.xml"/><Relationship Id="rId12" Type="http://schemas.openxmlformats.org/officeDocument/2006/relationships/ctrlProp" Target="../ctrlProps/ctrlProp97.xml"/><Relationship Id="rId17" Type="http://schemas.openxmlformats.org/officeDocument/2006/relationships/ctrlProp" Target="../ctrlProps/ctrlProp102.xml"/><Relationship Id="rId25" Type="http://schemas.openxmlformats.org/officeDocument/2006/relationships/ctrlProp" Target="../ctrlProps/ctrlProp110.xml"/><Relationship Id="rId2" Type="http://schemas.openxmlformats.org/officeDocument/2006/relationships/vmlDrawing" Target="../drawings/vmlDrawing5.vml"/><Relationship Id="rId16" Type="http://schemas.openxmlformats.org/officeDocument/2006/relationships/ctrlProp" Target="../ctrlProps/ctrlProp101.xml"/><Relationship Id="rId20" Type="http://schemas.openxmlformats.org/officeDocument/2006/relationships/ctrlProp" Target="../ctrlProps/ctrlProp105.xml"/><Relationship Id="rId29" Type="http://schemas.openxmlformats.org/officeDocument/2006/relationships/ctrlProp" Target="../ctrlProps/ctrlProp114.xml"/><Relationship Id="rId1" Type="http://schemas.openxmlformats.org/officeDocument/2006/relationships/drawing" Target="../drawings/drawing6.xml"/><Relationship Id="rId6" Type="http://schemas.openxmlformats.org/officeDocument/2006/relationships/ctrlProp" Target="../ctrlProps/ctrlProp91.xml"/><Relationship Id="rId11" Type="http://schemas.openxmlformats.org/officeDocument/2006/relationships/ctrlProp" Target="../ctrlProps/ctrlProp96.xml"/><Relationship Id="rId24" Type="http://schemas.openxmlformats.org/officeDocument/2006/relationships/ctrlProp" Target="../ctrlProps/ctrlProp109.xml"/><Relationship Id="rId5" Type="http://schemas.openxmlformats.org/officeDocument/2006/relationships/ctrlProp" Target="../ctrlProps/ctrlProp90.xml"/><Relationship Id="rId15" Type="http://schemas.openxmlformats.org/officeDocument/2006/relationships/ctrlProp" Target="../ctrlProps/ctrlProp100.xml"/><Relationship Id="rId23" Type="http://schemas.openxmlformats.org/officeDocument/2006/relationships/ctrlProp" Target="../ctrlProps/ctrlProp108.xml"/><Relationship Id="rId28" Type="http://schemas.openxmlformats.org/officeDocument/2006/relationships/ctrlProp" Target="../ctrlProps/ctrlProp113.xml"/><Relationship Id="rId10" Type="http://schemas.openxmlformats.org/officeDocument/2006/relationships/ctrlProp" Target="../ctrlProps/ctrlProp95.xml"/><Relationship Id="rId19" Type="http://schemas.openxmlformats.org/officeDocument/2006/relationships/ctrlProp" Target="../ctrlProps/ctrlProp104.xml"/><Relationship Id="rId4" Type="http://schemas.openxmlformats.org/officeDocument/2006/relationships/ctrlProp" Target="../ctrlProps/ctrlProp89.xml"/><Relationship Id="rId9" Type="http://schemas.openxmlformats.org/officeDocument/2006/relationships/ctrlProp" Target="../ctrlProps/ctrlProp94.xml"/><Relationship Id="rId14" Type="http://schemas.openxmlformats.org/officeDocument/2006/relationships/ctrlProp" Target="../ctrlProps/ctrlProp99.xml"/><Relationship Id="rId22" Type="http://schemas.openxmlformats.org/officeDocument/2006/relationships/ctrlProp" Target="../ctrlProps/ctrlProp107.xml"/><Relationship Id="rId27" Type="http://schemas.openxmlformats.org/officeDocument/2006/relationships/ctrlProp" Target="../ctrlProps/ctrlProp112.xml"/><Relationship Id="rId30" Type="http://schemas.openxmlformats.org/officeDocument/2006/relationships/ctrlProp" Target="../ctrlProps/ctrlProp11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21.xml"/><Relationship Id="rId13" Type="http://schemas.openxmlformats.org/officeDocument/2006/relationships/ctrlProp" Target="../ctrlProps/ctrlProp126.xml"/><Relationship Id="rId3" Type="http://schemas.openxmlformats.org/officeDocument/2006/relationships/ctrlProp" Target="../ctrlProps/ctrlProp116.xml"/><Relationship Id="rId7" Type="http://schemas.openxmlformats.org/officeDocument/2006/relationships/ctrlProp" Target="../ctrlProps/ctrlProp120.xml"/><Relationship Id="rId12" Type="http://schemas.openxmlformats.org/officeDocument/2006/relationships/ctrlProp" Target="../ctrlProps/ctrlProp125.xml"/><Relationship Id="rId2" Type="http://schemas.openxmlformats.org/officeDocument/2006/relationships/vmlDrawing" Target="../drawings/vmlDrawing6.vml"/><Relationship Id="rId1" Type="http://schemas.openxmlformats.org/officeDocument/2006/relationships/drawing" Target="../drawings/drawing7.xml"/><Relationship Id="rId6" Type="http://schemas.openxmlformats.org/officeDocument/2006/relationships/ctrlProp" Target="../ctrlProps/ctrlProp119.xml"/><Relationship Id="rId11" Type="http://schemas.openxmlformats.org/officeDocument/2006/relationships/ctrlProp" Target="../ctrlProps/ctrlProp124.xml"/><Relationship Id="rId5" Type="http://schemas.openxmlformats.org/officeDocument/2006/relationships/ctrlProp" Target="../ctrlProps/ctrlProp118.xml"/><Relationship Id="rId15" Type="http://schemas.openxmlformats.org/officeDocument/2006/relationships/ctrlProp" Target="../ctrlProps/ctrlProp128.xml"/><Relationship Id="rId10" Type="http://schemas.openxmlformats.org/officeDocument/2006/relationships/ctrlProp" Target="../ctrlProps/ctrlProp123.xml"/><Relationship Id="rId4" Type="http://schemas.openxmlformats.org/officeDocument/2006/relationships/ctrlProp" Target="../ctrlProps/ctrlProp117.xml"/><Relationship Id="rId9" Type="http://schemas.openxmlformats.org/officeDocument/2006/relationships/ctrlProp" Target="../ctrlProps/ctrlProp122.xml"/><Relationship Id="rId14" Type="http://schemas.openxmlformats.org/officeDocument/2006/relationships/ctrlProp" Target="../ctrlProps/ctrlProp127.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33.xml"/><Relationship Id="rId13" Type="http://schemas.openxmlformats.org/officeDocument/2006/relationships/ctrlProp" Target="../ctrlProps/ctrlProp138.xml"/><Relationship Id="rId18" Type="http://schemas.openxmlformats.org/officeDocument/2006/relationships/ctrlProp" Target="../ctrlProps/ctrlProp143.xml"/><Relationship Id="rId26" Type="http://schemas.openxmlformats.org/officeDocument/2006/relationships/ctrlProp" Target="../ctrlProps/ctrlProp151.xml"/><Relationship Id="rId3" Type="http://schemas.openxmlformats.org/officeDocument/2006/relationships/vmlDrawing" Target="../drawings/vmlDrawing7.vml"/><Relationship Id="rId21" Type="http://schemas.openxmlformats.org/officeDocument/2006/relationships/ctrlProp" Target="../ctrlProps/ctrlProp146.xml"/><Relationship Id="rId7" Type="http://schemas.openxmlformats.org/officeDocument/2006/relationships/ctrlProp" Target="../ctrlProps/ctrlProp132.xml"/><Relationship Id="rId12" Type="http://schemas.openxmlformats.org/officeDocument/2006/relationships/ctrlProp" Target="../ctrlProps/ctrlProp137.xml"/><Relationship Id="rId17" Type="http://schemas.openxmlformats.org/officeDocument/2006/relationships/ctrlProp" Target="../ctrlProps/ctrlProp142.xml"/><Relationship Id="rId25" Type="http://schemas.openxmlformats.org/officeDocument/2006/relationships/ctrlProp" Target="../ctrlProps/ctrlProp150.xml"/><Relationship Id="rId33" Type="http://schemas.openxmlformats.org/officeDocument/2006/relationships/ctrlProp" Target="../ctrlProps/ctrlProp158.xml"/><Relationship Id="rId2" Type="http://schemas.openxmlformats.org/officeDocument/2006/relationships/drawing" Target="../drawings/drawing8.xml"/><Relationship Id="rId16" Type="http://schemas.openxmlformats.org/officeDocument/2006/relationships/ctrlProp" Target="../ctrlProps/ctrlProp141.xml"/><Relationship Id="rId20" Type="http://schemas.openxmlformats.org/officeDocument/2006/relationships/ctrlProp" Target="../ctrlProps/ctrlProp145.xml"/><Relationship Id="rId29" Type="http://schemas.openxmlformats.org/officeDocument/2006/relationships/ctrlProp" Target="../ctrlProps/ctrlProp154.xml"/><Relationship Id="rId1" Type="http://schemas.openxmlformats.org/officeDocument/2006/relationships/printerSettings" Target="../printerSettings/printerSettings3.bin"/><Relationship Id="rId6" Type="http://schemas.openxmlformats.org/officeDocument/2006/relationships/ctrlProp" Target="../ctrlProps/ctrlProp131.xml"/><Relationship Id="rId11" Type="http://schemas.openxmlformats.org/officeDocument/2006/relationships/ctrlProp" Target="../ctrlProps/ctrlProp136.xml"/><Relationship Id="rId24" Type="http://schemas.openxmlformats.org/officeDocument/2006/relationships/ctrlProp" Target="../ctrlProps/ctrlProp149.xml"/><Relationship Id="rId32" Type="http://schemas.openxmlformats.org/officeDocument/2006/relationships/ctrlProp" Target="../ctrlProps/ctrlProp157.xml"/><Relationship Id="rId5" Type="http://schemas.openxmlformats.org/officeDocument/2006/relationships/ctrlProp" Target="../ctrlProps/ctrlProp130.xml"/><Relationship Id="rId15" Type="http://schemas.openxmlformats.org/officeDocument/2006/relationships/ctrlProp" Target="../ctrlProps/ctrlProp140.xml"/><Relationship Id="rId23" Type="http://schemas.openxmlformats.org/officeDocument/2006/relationships/ctrlProp" Target="../ctrlProps/ctrlProp148.xml"/><Relationship Id="rId28" Type="http://schemas.openxmlformats.org/officeDocument/2006/relationships/ctrlProp" Target="../ctrlProps/ctrlProp153.xml"/><Relationship Id="rId10" Type="http://schemas.openxmlformats.org/officeDocument/2006/relationships/ctrlProp" Target="../ctrlProps/ctrlProp135.xml"/><Relationship Id="rId19" Type="http://schemas.openxmlformats.org/officeDocument/2006/relationships/ctrlProp" Target="../ctrlProps/ctrlProp144.xml"/><Relationship Id="rId31" Type="http://schemas.openxmlformats.org/officeDocument/2006/relationships/ctrlProp" Target="../ctrlProps/ctrlProp156.xml"/><Relationship Id="rId4" Type="http://schemas.openxmlformats.org/officeDocument/2006/relationships/ctrlProp" Target="../ctrlProps/ctrlProp129.xml"/><Relationship Id="rId9" Type="http://schemas.openxmlformats.org/officeDocument/2006/relationships/ctrlProp" Target="../ctrlProps/ctrlProp134.xml"/><Relationship Id="rId14" Type="http://schemas.openxmlformats.org/officeDocument/2006/relationships/ctrlProp" Target="../ctrlProps/ctrlProp139.xml"/><Relationship Id="rId22" Type="http://schemas.openxmlformats.org/officeDocument/2006/relationships/ctrlProp" Target="../ctrlProps/ctrlProp147.xml"/><Relationship Id="rId27" Type="http://schemas.openxmlformats.org/officeDocument/2006/relationships/ctrlProp" Target="../ctrlProps/ctrlProp152.xml"/><Relationship Id="rId30" Type="http://schemas.openxmlformats.org/officeDocument/2006/relationships/ctrlProp" Target="../ctrlProps/ctrlProp15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63.xml"/><Relationship Id="rId13" Type="http://schemas.openxmlformats.org/officeDocument/2006/relationships/ctrlProp" Target="../ctrlProps/ctrlProp168.xml"/><Relationship Id="rId3" Type="http://schemas.openxmlformats.org/officeDocument/2006/relationships/vmlDrawing" Target="../drawings/vmlDrawing8.vml"/><Relationship Id="rId7" Type="http://schemas.openxmlformats.org/officeDocument/2006/relationships/ctrlProp" Target="../ctrlProps/ctrlProp162.xml"/><Relationship Id="rId12" Type="http://schemas.openxmlformats.org/officeDocument/2006/relationships/ctrlProp" Target="../ctrlProps/ctrlProp167.xml"/><Relationship Id="rId2" Type="http://schemas.openxmlformats.org/officeDocument/2006/relationships/drawing" Target="../drawings/drawing9.xml"/><Relationship Id="rId16" Type="http://schemas.openxmlformats.org/officeDocument/2006/relationships/ctrlProp" Target="../ctrlProps/ctrlProp171.xml"/><Relationship Id="rId1" Type="http://schemas.openxmlformats.org/officeDocument/2006/relationships/printerSettings" Target="../printerSettings/printerSettings4.bin"/><Relationship Id="rId6" Type="http://schemas.openxmlformats.org/officeDocument/2006/relationships/ctrlProp" Target="../ctrlProps/ctrlProp161.xml"/><Relationship Id="rId11" Type="http://schemas.openxmlformats.org/officeDocument/2006/relationships/ctrlProp" Target="../ctrlProps/ctrlProp166.xml"/><Relationship Id="rId5" Type="http://schemas.openxmlformats.org/officeDocument/2006/relationships/ctrlProp" Target="../ctrlProps/ctrlProp160.xml"/><Relationship Id="rId15" Type="http://schemas.openxmlformats.org/officeDocument/2006/relationships/ctrlProp" Target="../ctrlProps/ctrlProp170.xml"/><Relationship Id="rId10" Type="http://schemas.openxmlformats.org/officeDocument/2006/relationships/ctrlProp" Target="../ctrlProps/ctrlProp165.xml"/><Relationship Id="rId4" Type="http://schemas.openxmlformats.org/officeDocument/2006/relationships/ctrlProp" Target="../ctrlProps/ctrlProp159.xml"/><Relationship Id="rId9" Type="http://schemas.openxmlformats.org/officeDocument/2006/relationships/ctrlProp" Target="../ctrlProps/ctrlProp164.xml"/><Relationship Id="rId14" Type="http://schemas.openxmlformats.org/officeDocument/2006/relationships/ctrlProp" Target="../ctrlProps/ctrlProp16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98A86-5C07-4134-87F3-6CD0A6009537}">
  <dimension ref="A1:C18"/>
  <sheetViews>
    <sheetView showGridLines="0" tabSelected="1" zoomScale="115" zoomScaleNormal="115" workbookViewId="0">
      <selection activeCell="C8" sqref="C8"/>
    </sheetView>
  </sheetViews>
  <sheetFormatPr defaultColWidth="9.140625" defaultRowHeight="15" x14ac:dyDescent="0.25"/>
  <cols>
    <col min="1" max="1" width="24.28515625" style="13" customWidth="1"/>
    <col min="2" max="3" width="45.140625" style="13" customWidth="1"/>
    <col min="4" max="16384" width="9.140625" style="13"/>
  </cols>
  <sheetData>
    <row r="1" spans="1:3" x14ac:dyDescent="0.25">
      <c r="A1" s="103" t="s">
        <v>426</v>
      </c>
      <c r="B1" s="103"/>
      <c r="C1" s="103"/>
    </row>
    <row r="2" spans="1:3" ht="36" customHeight="1" x14ac:dyDescent="0.25">
      <c r="A2" s="102" t="s">
        <v>427</v>
      </c>
      <c r="B2" s="102"/>
      <c r="C2" s="102"/>
    </row>
    <row r="3" spans="1:3" ht="48.75" customHeight="1" x14ac:dyDescent="0.25">
      <c r="A3" s="102" t="s">
        <v>428</v>
      </c>
      <c r="B3" s="102"/>
      <c r="C3" s="102"/>
    </row>
    <row r="5" spans="1:3" x14ac:dyDescent="0.25">
      <c r="A5" s="103" t="s">
        <v>429</v>
      </c>
      <c r="B5" s="103"/>
      <c r="C5" s="103"/>
    </row>
    <row r="6" spans="1:3" x14ac:dyDescent="0.25">
      <c r="A6" s="95" t="s">
        <v>430</v>
      </c>
    </row>
    <row r="7" spans="1:3" x14ac:dyDescent="0.25">
      <c r="B7" s="13" t="s">
        <v>437</v>
      </c>
    </row>
    <row r="8" spans="1:3" x14ac:dyDescent="0.25">
      <c r="B8" s="13" t="s">
        <v>431</v>
      </c>
    </row>
    <row r="9" spans="1:3" x14ac:dyDescent="0.25">
      <c r="B9" s="13" t="s">
        <v>432</v>
      </c>
    </row>
    <row r="11" spans="1:3" x14ac:dyDescent="0.25">
      <c r="A11" s="95" t="s">
        <v>433</v>
      </c>
    </row>
    <row r="12" spans="1:3" x14ac:dyDescent="0.25">
      <c r="B12" s="13" t="s">
        <v>435</v>
      </c>
    </row>
    <row r="16" spans="1:3" x14ac:dyDescent="0.25">
      <c r="A16" s="95" t="s">
        <v>434</v>
      </c>
    </row>
    <row r="17" spans="2:3" x14ac:dyDescent="0.25">
      <c r="B17" s="104" t="s">
        <v>436</v>
      </c>
      <c r="C17" s="104"/>
    </row>
    <row r="18" spans="2:3" x14ac:dyDescent="0.25">
      <c r="B18" s="104"/>
      <c r="C18" s="104"/>
    </row>
  </sheetData>
  <mergeCells count="5">
    <mergeCell ref="A3:C3"/>
    <mergeCell ref="A2:C2"/>
    <mergeCell ref="A1:C1"/>
    <mergeCell ref="A5:C5"/>
    <mergeCell ref="B17:C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8E73E-4A89-4317-ABB7-1DDDBDA1D838}">
  <dimension ref="A1:P25"/>
  <sheetViews>
    <sheetView showGridLines="0" zoomScaleNormal="100" workbookViewId="0">
      <selection activeCell="A2" sqref="A2"/>
    </sheetView>
  </sheetViews>
  <sheetFormatPr defaultRowHeight="15" x14ac:dyDescent="0.25"/>
  <cols>
    <col min="1" max="1" width="24.42578125" customWidth="1"/>
    <col min="2" max="2" width="2.28515625" customWidth="1"/>
    <col min="3" max="3" width="24.42578125" customWidth="1"/>
    <col min="4" max="4" width="2.28515625" customWidth="1"/>
    <col min="5" max="5" width="24.42578125" customWidth="1"/>
    <col min="6" max="6" width="2.28515625" customWidth="1"/>
    <col min="7" max="7" width="24.42578125" customWidth="1"/>
    <col min="8" max="8" width="2.28515625" customWidth="1"/>
    <col min="9" max="9" width="24.42578125" customWidth="1"/>
    <col min="10" max="10" width="2.28515625" customWidth="1"/>
    <col min="11" max="11" width="24.42578125" customWidth="1"/>
    <col min="12" max="12" width="2.28515625" customWidth="1"/>
    <col min="13" max="13" width="24.42578125" customWidth="1"/>
    <col min="14" max="14" width="2.28515625" customWidth="1"/>
    <col min="15" max="15" width="25.42578125" customWidth="1"/>
  </cols>
  <sheetData>
    <row r="1" spans="1:16" x14ac:dyDescent="0.25">
      <c r="A1" s="1" t="s">
        <v>394</v>
      </c>
    </row>
    <row r="2" spans="1:16" ht="63" customHeight="1" x14ac:dyDescent="0.25">
      <c r="A2" s="96" t="s">
        <v>1</v>
      </c>
      <c r="B2" s="17"/>
      <c r="C2" s="96" t="s">
        <v>176</v>
      </c>
      <c r="D2" s="17"/>
      <c r="E2" s="96" t="s">
        <v>174</v>
      </c>
      <c r="F2" s="97"/>
      <c r="G2" s="96" t="s">
        <v>175</v>
      </c>
      <c r="H2" s="97"/>
      <c r="I2" s="96" t="s">
        <v>106</v>
      </c>
      <c r="J2" s="97"/>
      <c r="K2" s="96" t="s">
        <v>105</v>
      </c>
      <c r="L2" s="97"/>
      <c r="M2" s="96" t="s">
        <v>109</v>
      </c>
      <c r="N2" s="97"/>
      <c r="O2" s="96" t="s">
        <v>177</v>
      </c>
      <c r="P2" s="1"/>
    </row>
    <row r="3" spans="1:16" ht="16.5" customHeight="1" x14ac:dyDescent="0.25"/>
    <row r="4" spans="1:16" ht="16.5" customHeight="1" x14ac:dyDescent="0.25">
      <c r="A4" s="86" t="s">
        <v>403</v>
      </c>
      <c r="B4" s="87"/>
      <c r="C4" s="87"/>
      <c r="D4" s="87"/>
      <c r="E4" s="87"/>
      <c r="F4" s="87"/>
      <c r="G4" s="87"/>
      <c r="H4" s="87"/>
      <c r="I4" s="87"/>
      <c r="J4" s="87"/>
      <c r="K4" s="87"/>
      <c r="L4" s="87"/>
      <c r="M4" s="87"/>
      <c r="N4" s="87"/>
      <c r="O4" s="87"/>
    </row>
    <row r="5" spans="1:16" ht="168" customHeight="1" x14ac:dyDescent="0.25">
      <c r="A5" s="88" t="s">
        <v>395</v>
      </c>
      <c r="B5" s="89"/>
      <c r="C5" s="88" t="s">
        <v>396</v>
      </c>
      <c r="D5" s="89"/>
      <c r="E5" s="88" t="s">
        <v>397</v>
      </c>
      <c r="F5" s="89"/>
      <c r="G5" s="88" t="s">
        <v>398</v>
      </c>
      <c r="H5" s="89"/>
      <c r="I5" s="88" t="s">
        <v>399</v>
      </c>
      <c r="J5" s="89"/>
      <c r="K5" s="88" t="s">
        <v>400</v>
      </c>
      <c r="L5" s="89"/>
      <c r="M5" s="88" t="s">
        <v>401</v>
      </c>
      <c r="N5" s="89"/>
      <c r="O5" s="88" t="s">
        <v>402</v>
      </c>
    </row>
    <row r="6" spans="1:16" ht="16.5" customHeight="1" x14ac:dyDescent="0.25">
      <c r="A6" s="1"/>
    </row>
    <row r="7" spans="1:16" ht="16.5" customHeight="1" x14ac:dyDescent="0.25">
      <c r="A7" s="83" t="s">
        <v>198</v>
      </c>
      <c r="B7" s="84"/>
      <c r="C7" s="84"/>
      <c r="D7" s="84"/>
      <c r="E7" s="84"/>
      <c r="F7" s="84"/>
      <c r="G7" s="84"/>
      <c r="H7" s="84"/>
      <c r="I7" s="84"/>
      <c r="J7" s="84"/>
      <c r="K7" s="84"/>
      <c r="L7" s="84"/>
      <c r="M7" s="84"/>
      <c r="N7" s="84"/>
      <c r="O7" s="84"/>
    </row>
    <row r="8" spans="1:16" x14ac:dyDescent="0.25">
      <c r="A8" s="85"/>
      <c r="B8" s="84"/>
      <c r="C8" s="84" t="s">
        <v>68</v>
      </c>
      <c r="D8" s="84"/>
      <c r="E8" s="84" t="s">
        <v>213</v>
      </c>
      <c r="F8" s="84"/>
      <c r="G8" s="84" t="s">
        <v>183</v>
      </c>
      <c r="H8" s="84"/>
      <c r="I8" s="84"/>
      <c r="J8" s="84"/>
      <c r="K8" s="84" t="s">
        <v>187</v>
      </c>
      <c r="L8" s="84"/>
      <c r="M8" s="84" t="s">
        <v>69</v>
      </c>
      <c r="N8" s="84"/>
      <c r="O8" s="84" t="s">
        <v>192</v>
      </c>
    </row>
    <row r="9" spans="1:16" x14ac:dyDescent="0.25">
      <c r="A9" s="85"/>
      <c r="B9" s="84"/>
      <c r="C9" s="84" t="s">
        <v>179</v>
      </c>
      <c r="D9" s="84"/>
      <c r="E9" s="84" t="s">
        <v>214</v>
      </c>
      <c r="F9" s="84"/>
      <c r="G9" s="84" t="s">
        <v>55</v>
      </c>
      <c r="H9" s="84"/>
      <c r="I9" s="84"/>
      <c r="J9" s="84"/>
      <c r="K9" s="84" t="s">
        <v>188</v>
      </c>
      <c r="L9" s="84"/>
      <c r="M9" s="84" t="s">
        <v>190</v>
      </c>
      <c r="N9" s="84"/>
      <c r="O9" s="84" t="s">
        <v>193</v>
      </c>
    </row>
    <row r="10" spans="1:16" x14ac:dyDescent="0.25">
      <c r="A10" s="84"/>
      <c r="B10" s="84"/>
      <c r="C10" s="84" t="s">
        <v>180</v>
      </c>
      <c r="D10" s="84"/>
      <c r="E10" s="84" t="s">
        <v>225</v>
      </c>
      <c r="F10" s="84"/>
      <c r="G10" s="84" t="s">
        <v>184</v>
      </c>
      <c r="H10" s="84"/>
      <c r="I10" s="84"/>
      <c r="J10" s="84"/>
      <c r="K10" s="84" t="s">
        <v>189</v>
      </c>
      <c r="L10" s="84"/>
      <c r="M10" s="105" t="s">
        <v>191</v>
      </c>
      <c r="N10" s="84"/>
      <c r="O10" s="84" t="s">
        <v>194</v>
      </c>
    </row>
    <row r="11" spans="1:16" x14ac:dyDescent="0.25">
      <c r="A11" s="84"/>
      <c r="B11" s="84"/>
      <c r="C11" s="84" t="s">
        <v>181</v>
      </c>
      <c r="D11" s="84"/>
      <c r="E11" s="84"/>
      <c r="F11" s="84"/>
      <c r="G11" s="84" t="s">
        <v>185</v>
      </c>
      <c r="H11" s="84"/>
      <c r="I11" s="84"/>
      <c r="J11" s="84"/>
      <c r="K11" s="105" t="s">
        <v>199</v>
      </c>
      <c r="L11" s="84"/>
      <c r="M11" s="105"/>
      <c r="N11" s="84"/>
      <c r="O11" s="84" t="s">
        <v>195</v>
      </c>
    </row>
    <row r="12" spans="1:16" x14ac:dyDescent="0.25">
      <c r="A12" s="84"/>
      <c r="B12" s="84"/>
      <c r="C12" s="84" t="s">
        <v>182</v>
      </c>
      <c r="D12" s="84"/>
      <c r="E12" s="84"/>
      <c r="F12" s="84"/>
      <c r="G12" s="84" t="s">
        <v>186</v>
      </c>
      <c r="H12" s="84"/>
      <c r="I12" s="84"/>
      <c r="J12" s="84"/>
      <c r="K12" s="105"/>
      <c r="L12" s="84"/>
      <c r="M12" s="84" t="s">
        <v>215</v>
      </c>
      <c r="N12" s="84"/>
      <c r="O12" s="84" t="s">
        <v>196</v>
      </c>
    </row>
    <row r="13" spans="1:16" x14ac:dyDescent="0.25">
      <c r="A13" s="84"/>
      <c r="B13" s="84"/>
      <c r="C13" s="84" t="s">
        <v>66</v>
      </c>
      <c r="D13" s="84"/>
      <c r="E13" s="84"/>
      <c r="F13" s="84"/>
      <c r="G13" s="84" t="s">
        <v>160</v>
      </c>
      <c r="H13" s="84"/>
      <c r="I13" s="84"/>
      <c r="J13" s="84"/>
      <c r="K13" s="84"/>
      <c r="L13" s="84"/>
      <c r="M13" s="84"/>
      <c r="N13" s="84"/>
      <c r="O13" s="84" t="s">
        <v>197</v>
      </c>
    </row>
    <row r="14" spans="1:16" x14ac:dyDescent="0.25">
      <c r="A14" s="84"/>
      <c r="B14" s="84"/>
      <c r="C14" s="105" t="s">
        <v>178</v>
      </c>
      <c r="D14" s="84"/>
      <c r="E14" s="84"/>
      <c r="F14" s="84"/>
      <c r="G14" s="84" t="s">
        <v>200</v>
      </c>
      <c r="H14" s="84"/>
      <c r="I14" s="84"/>
      <c r="J14" s="84"/>
      <c r="K14" s="84"/>
      <c r="L14" s="84"/>
      <c r="M14" s="84"/>
      <c r="N14" s="84"/>
      <c r="O14" s="84"/>
    </row>
    <row r="15" spans="1:16" x14ac:dyDescent="0.25">
      <c r="A15" s="84"/>
      <c r="B15" s="84"/>
      <c r="C15" s="105"/>
      <c r="D15" s="84"/>
      <c r="E15" s="84"/>
      <c r="F15" s="84"/>
      <c r="G15" s="84"/>
      <c r="H15" s="84"/>
      <c r="I15" s="84"/>
      <c r="J15" s="84"/>
      <c r="K15" s="84"/>
      <c r="L15" s="84"/>
      <c r="M15" s="84"/>
      <c r="N15" s="84"/>
      <c r="O15" s="84"/>
    </row>
    <row r="16" spans="1:16" x14ac:dyDescent="0.25">
      <c r="A16" s="84"/>
      <c r="B16" s="84"/>
      <c r="C16" s="84" t="s">
        <v>226</v>
      </c>
      <c r="D16" s="84"/>
      <c r="E16" s="84"/>
      <c r="F16" s="84"/>
      <c r="G16" s="84"/>
      <c r="H16" s="84"/>
      <c r="I16" s="84"/>
      <c r="J16" s="84"/>
      <c r="K16" s="84"/>
      <c r="L16" s="84"/>
      <c r="M16" s="84"/>
      <c r="N16" s="84"/>
      <c r="O16" s="84"/>
    </row>
    <row r="17" spans="1:15" x14ac:dyDescent="0.25">
      <c r="A17" s="84"/>
      <c r="B17" s="84"/>
      <c r="C17" s="84"/>
      <c r="D17" s="84"/>
      <c r="E17" s="84"/>
      <c r="F17" s="84"/>
      <c r="G17" s="84"/>
      <c r="H17" s="84"/>
      <c r="I17" s="84"/>
      <c r="J17" s="84"/>
      <c r="K17" s="84"/>
      <c r="L17" s="84"/>
      <c r="M17" s="84"/>
      <c r="N17" s="84"/>
      <c r="O17" s="84"/>
    </row>
    <row r="18" spans="1:15" x14ac:dyDescent="0.25">
      <c r="A18" s="82"/>
    </row>
    <row r="19" spans="1:15" x14ac:dyDescent="0.25">
      <c r="A19" s="82"/>
    </row>
    <row r="20" spans="1:15" x14ac:dyDescent="0.25">
      <c r="A20" s="82"/>
    </row>
    <row r="21" spans="1:15" x14ac:dyDescent="0.25">
      <c r="A21" s="82"/>
    </row>
    <row r="22" spans="1:15" x14ac:dyDescent="0.25">
      <c r="A22" s="82"/>
    </row>
    <row r="23" spans="1:15" x14ac:dyDescent="0.25">
      <c r="A23" s="82"/>
    </row>
    <row r="24" spans="1:15" x14ac:dyDescent="0.25">
      <c r="A24" s="82"/>
    </row>
    <row r="25" spans="1:15" x14ac:dyDescent="0.25">
      <c r="A25" s="82"/>
    </row>
  </sheetData>
  <mergeCells count="3">
    <mergeCell ref="K11:K12"/>
    <mergeCell ref="C14:C15"/>
    <mergeCell ref="M10:M11"/>
  </mergeCells>
  <hyperlinks>
    <hyperlink ref="A2" location="Derailment!A1" display="Derailment" xr:uid="{C0531F6F-4068-42DD-A5E8-9C548D5FA967}"/>
    <hyperlink ref="C2" location="'Derailment Precursor'!A1" display="'Derailment Precursor'!A1" xr:uid="{8860BF67-A8D1-47AA-AD76-BF4F5704ABAF}"/>
    <hyperlink ref="E2" location="Collision!A1" display="Collision with train or infrastructure" xr:uid="{BC782535-3EE7-4448-9127-10C498CA58BF}"/>
    <hyperlink ref="G2" location="'Loss of Cont Precursor'!A1" display="'Loss of Cont Precursor'!A1" xr:uid="{731849EA-B4EC-4D5E-961B-0D6492C153F6}"/>
    <hyperlink ref="I2" location="'Loss of Containment'!A1" display="Loss of containment" xr:uid="{512B31CB-22F0-425F-B3C7-C8748A478F34}"/>
    <hyperlink ref="K2" location="'Loss of Cont Precursor'!A1" display="Precursor to loss of containment" xr:uid="{7303B921-4F2B-4BBA-935E-18D3C5CB95F9}"/>
    <hyperlink ref="M2" location="Fire!A1" display="Fire" xr:uid="{26152BAE-1EDC-4F40-93E0-B9FFDA5E3B2C}"/>
    <hyperlink ref="O2" location="'Admin Error'!A1" display="Administrative error" xr:uid="{D15CD01D-D85A-41F0-A8C1-2E32E37114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83B7C-DB45-4A4A-803B-3810BFE4B614}">
  <sheetPr codeName="Sheet1">
    <tabColor theme="6" tint="0.59999389629810485"/>
  </sheetPr>
  <dimension ref="A1:P98"/>
  <sheetViews>
    <sheetView showGridLines="0" zoomScale="130" zoomScaleNormal="130" workbookViewId="0">
      <pane ySplit="1" topLeftCell="A14" activePane="bottomLeft" state="frozen"/>
      <selection activeCell="C23" sqref="C23"/>
      <selection pane="bottomLeft"/>
    </sheetView>
  </sheetViews>
  <sheetFormatPr defaultRowHeight="15" x14ac:dyDescent="0.25"/>
  <cols>
    <col min="1" max="1" width="5.5703125" style="1" customWidth="1"/>
    <col min="2" max="2" width="3.85546875" customWidth="1"/>
    <col min="3" max="3" width="54.7109375" customWidth="1"/>
    <col min="4" max="4" width="36.42578125" customWidth="1"/>
    <col min="5" max="5" width="51.140625" customWidth="1"/>
    <col min="6" max="6" width="15.140625" hidden="1" customWidth="1"/>
    <col min="7" max="16" width="9.140625" style="36"/>
  </cols>
  <sheetData>
    <row r="1" spans="1:6" x14ac:dyDescent="0.25">
      <c r="A1" s="35" t="s">
        <v>234</v>
      </c>
      <c r="B1" s="36"/>
      <c r="C1" s="36"/>
      <c r="D1" s="36"/>
      <c r="E1" s="90" t="str">
        <f>"Risk Ranking - "&amp;ROUND('Derailment Score'!B26,1)</f>
        <v>Risk Ranking - 16.9</v>
      </c>
      <c r="F1" s="36"/>
    </row>
    <row r="2" spans="1:6" x14ac:dyDescent="0.25">
      <c r="A2" s="35"/>
      <c r="B2" s="36"/>
      <c r="C2" s="36"/>
      <c r="D2" s="36"/>
      <c r="E2" s="37" t="s">
        <v>216</v>
      </c>
      <c r="F2" s="36"/>
    </row>
    <row r="3" spans="1:6" s="36" customFormat="1" x14ac:dyDescent="0.25">
      <c r="A3" s="35"/>
    </row>
    <row r="4" spans="1:6" s="36" customFormat="1" x14ac:dyDescent="0.25">
      <c r="A4" s="19">
        <v>1</v>
      </c>
      <c r="B4" s="20" t="s">
        <v>118</v>
      </c>
      <c r="C4" s="21"/>
      <c r="D4" s="21"/>
      <c r="E4" s="107" t="s">
        <v>222</v>
      </c>
      <c r="F4">
        <v>2</v>
      </c>
    </row>
    <row r="5" spans="1:6" s="36" customFormat="1" ht="15" customHeight="1" x14ac:dyDescent="0.25">
      <c r="A5" s="22"/>
      <c r="B5" s="23"/>
      <c r="C5" s="24" t="s">
        <v>373</v>
      </c>
      <c r="D5" s="24"/>
      <c r="E5" s="108"/>
      <c r="F5"/>
    </row>
    <row r="6" spans="1:6" s="36" customFormat="1" x14ac:dyDescent="0.25">
      <c r="A6" s="22"/>
      <c r="B6" s="23"/>
      <c r="C6" s="24" t="s">
        <v>372</v>
      </c>
      <c r="D6" s="24"/>
      <c r="E6" s="108"/>
      <c r="F6"/>
    </row>
    <row r="7" spans="1:6" s="36" customFormat="1" x14ac:dyDescent="0.25">
      <c r="A7" s="25"/>
      <c r="B7" s="6"/>
      <c r="C7" s="26" t="s">
        <v>374</v>
      </c>
      <c r="D7" s="26"/>
      <c r="E7" s="109"/>
      <c r="F7"/>
    </row>
    <row r="8" spans="1:6" s="36" customFormat="1" x14ac:dyDescent="0.25">
      <c r="A8" s="35"/>
    </row>
    <row r="9" spans="1:6" s="36" customFormat="1" ht="15" customHeight="1" x14ac:dyDescent="0.25">
      <c r="A9" s="19">
        <v>2</v>
      </c>
      <c r="B9" s="20" t="s">
        <v>86</v>
      </c>
      <c r="C9" s="21"/>
      <c r="D9" s="21"/>
      <c r="E9" s="110" t="s">
        <v>217</v>
      </c>
      <c r="F9">
        <v>1</v>
      </c>
    </row>
    <row r="10" spans="1:6" s="36" customFormat="1" x14ac:dyDescent="0.25">
      <c r="A10" s="22"/>
      <c r="B10" s="23"/>
      <c r="C10" s="23" t="s">
        <v>2</v>
      </c>
      <c r="D10" s="23"/>
      <c r="E10" s="111"/>
      <c r="F10"/>
    </row>
    <row r="11" spans="1:6" s="36" customFormat="1" x14ac:dyDescent="0.25">
      <c r="A11" s="25"/>
      <c r="B11" s="6"/>
      <c r="C11" s="6" t="s">
        <v>0</v>
      </c>
      <c r="D11" s="6"/>
      <c r="E11" s="112"/>
      <c r="F11"/>
    </row>
    <row r="12" spans="1:6" s="36" customFormat="1" x14ac:dyDescent="0.25">
      <c r="A12" s="35"/>
    </row>
    <row r="13" spans="1:6" s="36" customFormat="1" x14ac:dyDescent="0.25">
      <c r="A13" s="19">
        <v>3</v>
      </c>
      <c r="B13" s="20" t="s">
        <v>223</v>
      </c>
      <c r="C13" s="21"/>
      <c r="D13" s="21"/>
      <c r="E13" s="110" t="s">
        <v>218</v>
      </c>
      <c r="F13">
        <v>2</v>
      </c>
    </row>
    <row r="14" spans="1:6" s="36" customFormat="1" x14ac:dyDescent="0.25">
      <c r="A14" s="22"/>
      <c r="B14" s="23"/>
      <c r="C14" s="23" t="s">
        <v>2</v>
      </c>
      <c r="D14" s="23"/>
      <c r="E14" s="111"/>
      <c r="F14"/>
    </row>
    <row r="15" spans="1:6" s="36" customFormat="1" x14ac:dyDescent="0.25">
      <c r="A15" s="25"/>
      <c r="B15" s="6"/>
      <c r="C15" s="6" t="s">
        <v>0</v>
      </c>
      <c r="D15" s="6"/>
      <c r="E15" s="112"/>
      <c r="F15"/>
    </row>
    <row r="16" spans="1:6" s="36" customFormat="1" x14ac:dyDescent="0.25">
      <c r="A16" s="35"/>
    </row>
    <row r="17" spans="1:6" s="36" customFormat="1" x14ac:dyDescent="0.25">
      <c r="A17" s="19">
        <v>4</v>
      </c>
      <c r="B17" s="20" t="s">
        <v>119</v>
      </c>
      <c r="C17" s="21"/>
      <c r="D17" s="21"/>
      <c r="E17" s="27"/>
      <c r="F17">
        <v>1</v>
      </c>
    </row>
    <row r="18" spans="1:6" s="36" customFormat="1" x14ac:dyDescent="0.25">
      <c r="A18" s="22"/>
      <c r="B18" s="23"/>
      <c r="C18" s="23" t="s">
        <v>2</v>
      </c>
      <c r="D18" s="28"/>
      <c r="E18" s="29"/>
      <c r="F18"/>
    </row>
    <row r="19" spans="1:6" s="36" customFormat="1" x14ac:dyDescent="0.25">
      <c r="A19" s="25"/>
      <c r="B19" s="6"/>
      <c r="C19" s="6" t="s">
        <v>0</v>
      </c>
      <c r="D19" s="30"/>
      <c r="E19" s="31"/>
    </row>
    <row r="20" spans="1:6" s="36" customFormat="1" x14ac:dyDescent="0.25">
      <c r="A20" s="35"/>
      <c r="B20" s="38"/>
    </row>
    <row r="21" spans="1:6" s="36" customFormat="1" x14ac:dyDescent="0.25">
      <c r="A21" s="19">
        <v>5</v>
      </c>
      <c r="B21" s="20" t="s">
        <v>82</v>
      </c>
      <c r="C21" s="21"/>
      <c r="D21" s="21"/>
      <c r="E21" s="110" t="s">
        <v>219</v>
      </c>
      <c r="F21">
        <v>1</v>
      </c>
    </row>
    <row r="22" spans="1:6" s="36" customFormat="1" x14ac:dyDescent="0.25">
      <c r="A22" s="22"/>
      <c r="B22" s="23"/>
      <c r="C22" s="23" t="s">
        <v>445</v>
      </c>
      <c r="D22" s="23"/>
      <c r="E22" s="111"/>
      <c r="F22"/>
    </row>
    <row r="23" spans="1:6" s="36" customFormat="1" x14ac:dyDescent="0.25">
      <c r="A23" s="25"/>
      <c r="B23" s="6"/>
      <c r="C23" s="6" t="s">
        <v>120</v>
      </c>
      <c r="D23" s="6"/>
      <c r="E23" s="112"/>
      <c r="F23"/>
    </row>
    <row r="24" spans="1:6" s="36" customFormat="1" x14ac:dyDescent="0.25">
      <c r="A24" s="35"/>
    </row>
    <row r="25" spans="1:6" s="36" customFormat="1" x14ac:dyDescent="0.25">
      <c r="A25" s="19">
        <v>6</v>
      </c>
      <c r="B25" s="20" t="s">
        <v>122</v>
      </c>
      <c r="C25" s="21"/>
      <c r="D25" s="21"/>
      <c r="E25" s="110" t="s">
        <v>220</v>
      </c>
      <c r="F25">
        <v>21</v>
      </c>
    </row>
    <row r="26" spans="1:6" s="36" customFormat="1" x14ac:dyDescent="0.25">
      <c r="A26" s="25"/>
      <c r="B26" s="6"/>
      <c r="C26" s="6"/>
      <c r="D26" s="6"/>
      <c r="E26" s="112"/>
      <c r="F26"/>
    </row>
    <row r="27" spans="1:6" s="36" customFormat="1" x14ac:dyDescent="0.25">
      <c r="A27" s="35"/>
      <c r="B27" s="38"/>
      <c r="F27"/>
    </row>
    <row r="28" spans="1:6" s="36" customFormat="1" ht="15" customHeight="1" x14ac:dyDescent="0.25">
      <c r="A28" s="19">
        <v>7</v>
      </c>
      <c r="B28" s="20" t="s">
        <v>376</v>
      </c>
      <c r="C28" s="21"/>
      <c r="D28" s="21"/>
      <c r="E28" s="110" t="s">
        <v>393</v>
      </c>
      <c r="F28">
        <v>2</v>
      </c>
    </row>
    <row r="29" spans="1:6" s="36" customFormat="1" ht="48" customHeight="1" x14ac:dyDescent="0.25">
      <c r="A29" s="25"/>
      <c r="B29" s="6"/>
      <c r="C29" s="6"/>
      <c r="D29" s="6"/>
      <c r="E29" s="113"/>
      <c r="F29"/>
    </row>
    <row r="30" spans="1:6" s="36" customFormat="1" x14ac:dyDescent="0.25">
      <c r="A30" s="39"/>
      <c r="B30" s="40"/>
      <c r="C30" s="40"/>
      <c r="D30" s="40"/>
      <c r="E30" s="41"/>
    </row>
    <row r="31" spans="1:6" s="36" customFormat="1" x14ac:dyDescent="0.25">
      <c r="A31" s="19">
        <v>8</v>
      </c>
      <c r="B31" s="20" t="s">
        <v>107</v>
      </c>
      <c r="C31" s="21"/>
      <c r="D31" s="21"/>
      <c r="E31" s="45"/>
      <c r="F31" s="47"/>
    </row>
    <row r="32" spans="1:6" s="36" customFormat="1" ht="17.25" customHeight="1" x14ac:dyDescent="0.25">
      <c r="A32" s="22"/>
      <c r="B32" s="23"/>
      <c r="C32" s="46" t="s">
        <v>92</v>
      </c>
      <c r="D32" s="23"/>
      <c r="E32" s="43"/>
      <c r="F32" s="48">
        <v>2</v>
      </c>
    </row>
    <row r="33" spans="1:6" s="36" customFormat="1" ht="17.25" customHeight="1" x14ac:dyDescent="0.25">
      <c r="A33" s="22"/>
      <c r="B33" s="23"/>
      <c r="C33" s="23" t="s">
        <v>131</v>
      </c>
      <c r="D33" s="23"/>
      <c r="E33" s="43"/>
      <c r="F33" s="48">
        <v>2</v>
      </c>
    </row>
    <row r="34" spans="1:6" s="36" customFormat="1" ht="17.25" customHeight="1" x14ac:dyDescent="0.25">
      <c r="A34" s="22"/>
      <c r="B34" s="23"/>
      <c r="C34" s="23" t="s">
        <v>130</v>
      </c>
      <c r="D34" s="23"/>
      <c r="E34" s="43"/>
      <c r="F34" s="48">
        <v>2</v>
      </c>
    </row>
    <row r="35" spans="1:6" s="36" customFormat="1" ht="17.25" customHeight="1" x14ac:dyDescent="0.25">
      <c r="A35" s="22"/>
      <c r="B35" s="23"/>
      <c r="C35" s="23" t="s">
        <v>231</v>
      </c>
      <c r="D35" s="23"/>
      <c r="E35" s="43"/>
      <c r="F35" s="48">
        <v>2</v>
      </c>
    </row>
    <row r="36" spans="1:6" s="36" customFormat="1" ht="17.25" customHeight="1" x14ac:dyDescent="0.25">
      <c r="A36" s="22"/>
      <c r="B36" s="23"/>
      <c r="C36" s="46" t="s">
        <v>93</v>
      </c>
      <c r="D36" s="23"/>
      <c r="E36" s="43"/>
      <c r="F36" s="48">
        <v>1</v>
      </c>
    </row>
    <row r="37" spans="1:6" s="36" customFormat="1" ht="17.25" customHeight="1" x14ac:dyDescent="0.25">
      <c r="A37" s="22"/>
      <c r="B37" s="23"/>
      <c r="C37" s="46" t="s">
        <v>227</v>
      </c>
      <c r="D37" s="23"/>
      <c r="E37" s="43"/>
      <c r="F37" s="48">
        <v>2</v>
      </c>
    </row>
    <row r="38" spans="1:6" s="36" customFormat="1" ht="17.25" customHeight="1" x14ac:dyDescent="0.25">
      <c r="A38" s="22"/>
      <c r="B38" s="23"/>
      <c r="C38" s="46" t="s">
        <v>95</v>
      </c>
      <c r="D38" s="23"/>
      <c r="E38" s="43"/>
      <c r="F38" s="48">
        <v>2</v>
      </c>
    </row>
    <row r="39" spans="1:6" s="36" customFormat="1" ht="17.25" customHeight="1" x14ac:dyDescent="0.25">
      <c r="A39" s="22"/>
      <c r="B39" s="23"/>
      <c r="C39" s="46" t="s">
        <v>96</v>
      </c>
      <c r="D39" s="23"/>
      <c r="E39" s="43"/>
      <c r="F39" s="48">
        <v>2</v>
      </c>
    </row>
    <row r="40" spans="1:6" s="36" customFormat="1" ht="17.25" customHeight="1" x14ac:dyDescent="0.25">
      <c r="A40" s="22"/>
      <c r="B40" s="23"/>
      <c r="C40" s="46" t="s">
        <v>97</v>
      </c>
      <c r="D40" s="23"/>
      <c r="E40" s="43"/>
      <c r="F40" s="48">
        <v>2</v>
      </c>
    </row>
    <row r="41" spans="1:6" s="36" customFormat="1" ht="17.25" customHeight="1" x14ac:dyDescent="0.25">
      <c r="A41" s="22"/>
      <c r="B41" s="23"/>
      <c r="C41" s="46" t="s">
        <v>98</v>
      </c>
      <c r="D41" s="23"/>
      <c r="E41" s="43"/>
      <c r="F41" s="48">
        <v>2</v>
      </c>
    </row>
    <row r="42" spans="1:6" s="36" customFormat="1" ht="17.25" customHeight="1" x14ac:dyDescent="0.25">
      <c r="A42" s="22"/>
      <c r="B42" s="23"/>
      <c r="C42" s="46" t="s">
        <v>99</v>
      </c>
      <c r="D42" s="23"/>
      <c r="E42" s="43"/>
      <c r="F42" s="48">
        <v>2</v>
      </c>
    </row>
    <row r="43" spans="1:6" s="36" customFormat="1" ht="17.25" customHeight="1" x14ac:dyDescent="0.25">
      <c r="A43" s="22"/>
      <c r="B43" s="23"/>
      <c r="C43" s="46" t="s">
        <v>100</v>
      </c>
      <c r="D43" s="23"/>
      <c r="E43" s="43"/>
      <c r="F43" s="48">
        <v>2</v>
      </c>
    </row>
    <row r="44" spans="1:6" s="36" customFormat="1" ht="17.25" customHeight="1" x14ac:dyDescent="0.25">
      <c r="A44" s="22"/>
      <c r="B44" s="23"/>
      <c r="C44" s="46" t="s">
        <v>101</v>
      </c>
      <c r="D44" s="23"/>
      <c r="E44" s="43"/>
      <c r="F44" s="48">
        <v>2</v>
      </c>
    </row>
    <row r="45" spans="1:6" s="36" customFormat="1" ht="17.25" customHeight="1" x14ac:dyDescent="0.25">
      <c r="A45" s="22"/>
      <c r="B45" s="23"/>
      <c r="C45" s="46" t="s">
        <v>102</v>
      </c>
      <c r="D45" s="23"/>
      <c r="E45" s="43"/>
      <c r="F45" s="48">
        <v>2</v>
      </c>
    </row>
    <row r="46" spans="1:6" s="36" customFormat="1" ht="17.25" customHeight="1" x14ac:dyDescent="0.25">
      <c r="A46" s="22"/>
      <c r="B46" s="23"/>
      <c r="C46" s="46" t="s">
        <v>228</v>
      </c>
      <c r="D46" s="23"/>
      <c r="E46" s="43"/>
      <c r="F46" s="48">
        <v>2</v>
      </c>
    </row>
    <row r="47" spans="1:6" s="36" customFormat="1" ht="17.25" customHeight="1" x14ac:dyDescent="0.25">
      <c r="A47" s="22"/>
      <c r="B47" s="23"/>
      <c r="C47" s="46" t="s">
        <v>104</v>
      </c>
      <c r="D47" s="23"/>
      <c r="E47" s="43"/>
      <c r="F47" s="48">
        <v>2</v>
      </c>
    </row>
    <row r="48" spans="1:6" s="36" customFormat="1" x14ac:dyDescent="0.25">
      <c r="A48" s="25"/>
      <c r="B48" s="6"/>
      <c r="C48" s="6"/>
      <c r="D48" s="6"/>
      <c r="E48" s="44"/>
      <c r="F48" s="47"/>
    </row>
    <row r="49" spans="1:6" s="36" customFormat="1" x14ac:dyDescent="0.25">
      <c r="A49" s="39"/>
      <c r="B49" s="40"/>
      <c r="C49" s="40"/>
      <c r="D49" s="40"/>
      <c r="E49" s="41"/>
    </row>
    <row r="50" spans="1:6" s="36" customFormat="1" x14ac:dyDescent="0.25">
      <c r="A50" s="19">
        <v>9</v>
      </c>
      <c r="B50" s="20" t="s">
        <v>204</v>
      </c>
      <c r="C50" s="21"/>
      <c r="D50" s="21"/>
      <c r="E50" s="27"/>
      <c r="F50"/>
    </row>
    <row r="51" spans="1:6" s="36" customFormat="1" x14ac:dyDescent="0.25">
      <c r="A51" s="22"/>
      <c r="B51" s="23"/>
      <c r="C51" s="23" t="s">
        <v>448</v>
      </c>
      <c r="D51" s="23"/>
      <c r="E51" s="106" t="s">
        <v>221</v>
      </c>
      <c r="F51">
        <v>2</v>
      </c>
    </row>
    <row r="52" spans="1:6" s="36" customFormat="1" x14ac:dyDescent="0.25">
      <c r="A52" s="22"/>
      <c r="B52" s="23"/>
      <c r="C52" s="23"/>
      <c r="D52" s="32"/>
      <c r="E52" s="106"/>
      <c r="F52"/>
    </row>
    <row r="53" spans="1:6" s="36" customFormat="1" x14ac:dyDescent="0.25">
      <c r="A53" s="22"/>
      <c r="B53" s="23"/>
      <c r="C53" s="32" t="s">
        <v>233</v>
      </c>
      <c r="D53" s="32"/>
      <c r="E53" s="106"/>
      <c r="F53">
        <v>2</v>
      </c>
    </row>
    <row r="54" spans="1:6" s="36" customFormat="1" x14ac:dyDescent="0.25">
      <c r="A54" s="22"/>
      <c r="B54" s="23"/>
      <c r="C54" s="23"/>
      <c r="D54" s="32"/>
      <c r="E54" s="106"/>
      <c r="F54"/>
    </row>
    <row r="55" spans="1:6" s="36" customFormat="1" x14ac:dyDescent="0.25">
      <c r="A55" s="22"/>
      <c r="B55" s="32"/>
      <c r="C55" s="32" t="s">
        <v>449</v>
      </c>
      <c r="D55" s="23"/>
      <c r="E55" s="106"/>
      <c r="F55">
        <v>2</v>
      </c>
    </row>
    <row r="56" spans="1:6" s="36" customFormat="1" x14ac:dyDescent="0.25">
      <c r="A56" s="22"/>
      <c r="B56" s="32"/>
      <c r="C56" s="23"/>
      <c r="D56" s="23"/>
      <c r="E56" s="106"/>
      <c r="F56"/>
    </row>
    <row r="57" spans="1:6" s="36" customFormat="1" x14ac:dyDescent="0.25">
      <c r="A57" s="22"/>
      <c r="B57" s="32"/>
      <c r="C57" s="32" t="s">
        <v>450</v>
      </c>
      <c r="D57" s="23"/>
      <c r="E57" s="106"/>
      <c r="F57">
        <v>2</v>
      </c>
    </row>
    <row r="58" spans="1:6" s="36" customFormat="1" x14ac:dyDescent="0.25">
      <c r="A58" s="22"/>
      <c r="B58" s="32"/>
      <c r="C58" s="32"/>
      <c r="D58" s="23"/>
      <c r="E58" s="76"/>
      <c r="F58"/>
    </row>
    <row r="59" spans="1:6" s="36" customFormat="1" x14ac:dyDescent="0.25">
      <c r="A59" s="22"/>
      <c r="B59" s="32"/>
      <c r="C59" s="32" t="s">
        <v>383</v>
      </c>
      <c r="D59" s="23"/>
      <c r="E59" s="76"/>
      <c r="F59">
        <v>2</v>
      </c>
    </row>
    <row r="60" spans="1:6" s="36" customFormat="1" x14ac:dyDescent="0.25">
      <c r="A60" s="25"/>
      <c r="B60" s="33"/>
      <c r="C60" s="6"/>
      <c r="D60" s="6"/>
      <c r="E60" s="34"/>
      <c r="F60"/>
    </row>
    <row r="61" spans="1:6" s="36" customFormat="1" x14ac:dyDescent="0.25">
      <c r="A61" s="35"/>
    </row>
    <row r="62" spans="1:6" s="36" customFormat="1" x14ac:dyDescent="0.25">
      <c r="A62" s="35"/>
    </row>
    <row r="63" spans="1:6" s="36" customFormat="1" x14ac:dyDescent="0.25">
      <c r="A63" s="35"/>
    </row>
    <row r="64" spans="1:6" s="36" customFormat="1" x14ac:dyDescent="0.25">
      <c r="A64" s="35"/>
    </row>
    <row r="65" spans="1:5" s="36" customFormat="1" x14ac:dyDescent="0.25">
      <c r="A65" s="35"/>
    </row>
    <row r="66" spans="1:5" s="36" customFormat="1" x14ac:dyDescent="0.25">
      <c r="A66" s="35"/>
    </row>
    <row r="67" spans="1:5" s="36" customFormat="1" x14ac:dyDescent="0.25">
      <c r="A67" s="35"/>
    </row>
    <row r="68" spans="1:5" x14ac:dyDescent="0.25">
      <c r="A68" s="35"/>
      <c r="B68" s="36"/>
      <c r="C68" s="36"/>
      <c r="D68" s="36"/>
      <c r="E68" s="36"/>
    </row>
    <row r="69" spans="1:5" x14ac:dyDescent="0.25">
      <c r="A69" s="35"/>
      <c r="B69" s="36"/>
      <c r="C69" s="36"/>
      <c r="D69" s="36"/>
      <c r="E69" s="36"/>
    </row>
    <row r="70" spans="1:5" x14ac:dyDescent="0.25">
      <c r="A70" s="35"/>
      <c r="B70" s="36"/>
      <c r="C70" s="36"/>
      <c r="D70" s="36"/>
      <c r="E70" s="36"/>
    </row>
    <row r="71" spans="1:5" x14ac:dyDescent="0.25">
      <c r="A71" s="35"/>
      <c r="B71" s="36"/>
      <c r="C71" s="36"/>
      <c r="D71" s="36"/>
      <c r="E71" s="36"/>
    </row>
    <row r="72" spans="1:5" x14ac:dyDescent="0.25">
      <c r="A72" s="35"/>
      <c r="B72" s="36"/>
      <c r="C72" s="36"/>
      <c r="D72" s="36"/>
      <c r="E72" s="36"/>
    </row>
    <row r="73" spans="1:5" x14ac:dyDescent="0.25">
      <c r="A73" s="35"/>
      <c r="B73" s="36"/>
      <c r="C73" s="36"/>
      <c r="D73" s="36"/>
      <c r="E73" s="36"/>
    </row>
    <row r="74" spans="1:5" x14ac:dyDescent="0.25">
      <c r="A74" s="35"/>
      <c r="B74" s="36"/>
      <c r="C74" s="36"/>
      <c r="D74" s="36"/>
      <c r="E74" s="36"/>
    </row>
    <row r="75" spans="1:5" x14ac:dyDescent="0.25">
      <c r="A75" s="35"/>
      <c r="B75" s="36"/>
      <c r="C75" s="36"/>
      <c r="D75" s="36"/>
      <c r="E75" s="36"/>
    </row>
    <row r="76" spans="1:5" x14ac:dyDescent="0.25">
      <c r="A76" s="35"/>
      <c r="B76" s="36"/>
      <c r="C76" s="36"/>
      <c r="D76" s="36"/>
      <c r="E76" s="36"/>
    </row>
    <row r="77" spans="1:5" x14ac:dyDescent="0.25">
      <c r="A77" s="35"/>
      <c r="B77" s="36"/>
      <c r="C77" s="36"/>
      <c r="D77" s="36"/>
      <c r="E77" s="36"/>
    </row>
    <row r="78" spans="1:5" x14ac:dyDescent="0.25">
      <c r="A78" s="35"/>
      <c r="B78" s="36"/>
      <c r="C78" s="36"/>
      <c r="D78" s="36"/>
      <c r="E78" s="36"/>
    </row>
    <row r="79" spans="1:5" x14ac:dyDescent="0.25">
      <c r="A79" s="35"/>
      <c r="B79" s="36"/>
      <c r="C79" s="36"/>
      <c r="D79" s="36"/>
      <c r="E79" s="36"/>
    </row>
    <row r="80" spans="1:5" x14ac:dyDescent="0.25">
      <c r="A80" s="35"/>
      <c r="B80" s="36"/>
      <c r="C80" s="36"/>
      <c r="D80" s="36"/>
      <c r="E80" s="36"/>
    </row>
    <row r="81" spans="1:5" x14ac:dyDescent="0.25">
      <c r="A81" s="35"/>
      <c r="B81" s="36"/>
      <c r="C81" s="36"/>
      <c r="D81" s="36"/>
      <c r="E81" s="36"/>
    </row>
    <row r="82" spans="1:5" x14ac:dyDescent="0.25">
      <c r="A82" s="35"/>
      <c r="B82" s="36"/>
      <c r="C82" s="36"/>
      <c r="D82" s="36"/>
      <c r="E82" s="36"/>
    </row>
    <row r="83" spans="1:5" x14ac:dyDescent="0.25">
      <c r="A83" s="35"/>
      <c r="B83" s="36"/>
      <c r="C83" s="36"/>
      <c r="D83" s="36"/>
      <c r="E83" s="36"/>
    </row>
    <row r="84" spans="1:5" x14ac:dyDescent="0.25">
      <c r="A84" s="35"/>
      <c r="B84" s="36"/>
      <c r="C84" s="36"/>
      <c r="D84" s="36"/>
      <c r="E84" s="36"/>
    </row>
    <row r="85" spans="1:5" x14ac:dyDescent="0.25">
      <c r="A85" s="35"/>
      <c r="B85" s="36"/>
      <c r="C85" s="36"/>
      <c r="D85" s="36"/>
      <c r="E85" s="36"/>
    </row>
    <row r="86" spans="1:5" x14ac:dyDescent="0.25">
      <c r="A86" s="35"/>
      <c r="B86" s="36"/>
      <c r="C86" s="36"/>
      <c r="D86" s="36"/>
      <c r="E86" s="36"/>
    </row>
    <row r="87" spans="1:5" x14ac:dyDescent="0.25">
      <c r="A87" s="35"/>
      <c r="B87" s="36"/>
      <c r="C87" s="36"/>
      <c r="D87" s="36"/>
      <c r="E87" s="36"/>
    </row>
    <row r="88" spans="1:5" x14ac:dyDescent="0.25">
      <c r="A88" s="35"/>
      <c r="B88" s="36"/>
      <c r="C88" s="36"/>
      <c r="D88" s="36"/>
      <c r="E88" s="36"/>
    </row>
    <row r="89" spans="1:5" x14ac:dyDescent="0.25">
      <c r="A89" s="35"/>
      <c r="B89" s="36"/>
      <c r="C89" s="36"/>
      <c r="D89" s="36"/>
      <c r="E89" s="36"/>
    </row>
    <row r="90" spans="1:5" x14ac:dyDescent="0.25">
      <c r="A90" s="35"/>
      <c r="B90" s="36"/>
      <c r="C90" s="36"/>
      <c r="D90" s="36"/>
      <c r="E90" s="36"/>
    </row>
    <row r="91" spans="1:5" x14ac:dyDescent="0.25">
      <c r="A91" s="35"/>
      <c r="B91" s="36"/>
      <c r="C91" s="36"/>
      <c r="D91" s="36"/>
      <c r="E91" s="36"/>
    </row>
    <row r="92" spans="1:5" x14ac:dyDescent="0.25">
      <c r="A92" s="35"/>
      <c r="B92" s="36"/>
      <c r="C92" s="36"/>
      <c r="D92" s="36"/>
      <c r="E92" s="36"/>
    </row>
    <row r="93" spans="1:5" x14ac:dyDescent="0.25">
      <c r="A93" s="35"/>
      <c r="B93" s="36"/>
      <c r="C93" s="36"/>
      <c r="D93" s="36"/>
      <c r="E93" s="36"/>
    </row>
    <row r="94" spans="1:5" x14ac:dyDescent="0.25">
      <c r="A94" s="35"/>
      <c r="B94" s="36"/>
      <c r="C94" s="36"/>
      <c r="D94" s="36"/>
      <c r="E94" s="36"/>
    </row>
    <row r="95" spans="1:5" x14ac:dyDescent="0.25">
      <c r="A95" s="35"/>
      <c r="B95" s="36"/>
      <c r="C95" s="36"/>
      <c r="D95" s="36"/>
      <c r="E95" s="36"/>
    </row>
    <row r="96" spans="1:5" x14ac:dyDescent="0.25">
      <c r="A96" s="35"/>
      <c r="B96" s="36"/>
      <c r="C96" s="36"/>
      <c r="D96" s="36"/>
      <c r="E96" s="36"/>
    </row>
    <row r="97" spans="1:5" x14ac:dyDescent="0.25">
      <c r="A97" s="35"/>
      <c r="B97" s="36"/>
      <c r="C97" s="36"/>
      <c r="D97" s="36"/>
      <c r="E97" s="36"/>
    </row>
    <row r="98" spans="1:5" x14ac:dyDescent="0.25">
      <c r="A98" s="35"/>
      <c r="B98" s="36"/>
      <c r="C98" s="36"/>
      <c r="D98" s="36"/>
      <c r="E98" s="36"/>
    </row>
  </sheetData>
  <mergeCells count="7">
    <mergeCell ref="E51:E57"/>
    <mergeCell ref="E4:E7"/>
    <mergeCell ref="E9:E11"/>
    <mergeCell ref="E13:E15"/>
    <mergeCell ref="E21:E23"/>
    <mergeCell ref="E25:E26"/>
    <mergeCell ref="E28:E29"/>
  </mergeCells>
  <pageMargins left="0.7" right="0.7" top="0.75" bottom="0.75" header="0.3" footer="0.3"/>
  <pageSetup paperSize="9"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38914" r:id="rId4" name="Drop Down 2">
              <controlPr defaultSize="0" autoLine="0" autoPict="0">
                <anchor moveWithCells="1">
                  <from>
                    <xdr:col>2</xdr:col>
                    <xdr:colOff>3638550</xdr:colOff>
                    <xdr:row>3</xdr:row>
                    <xdr:rowOff>57150</xdr:rowOff>
                  </from>
                  <to>
                    <xdr:col>3</xdr:col>
                    <xdr:colOff>1800225</xdr:colOff>
                    <xdr:row>4</xdr:row>
                    <xdr:rowOff>66675</xdr:rowOff>
                  </to>
                </anchor>
              </controlPr>
            </control>
          </mc:Choice>
        </mc:AlternateContent>
        <mc:AlternateContent xmlns:mc="http://schemas.openxmlformats.org/markup-compatibility/2006">
          <mc:Choice Requires="x14">
            <control shapeId="38915" r:id="rId5" name="Drop Down 3">
              <controlPr defaultSize="0" autoLine="0" autoPict="0">
                <anchor moveWithCells="1">
                  <from>
                    <xdr:col>3</xdr:col>
                    <xdr:colOff>0</xdr:colOff>
                    <xdr:row>8</xdr:row>
                    <xdr:rowOff>28575</xdr:rowOff>
                  </from>
                  <to>
                    <xdr:col>3</xdr:col>
                    <xdr:colOff>1800225</xdr:colOff>
                    <xdr:row>9</xdr:row>
                    <xdr:rowOff>38100</xdr:rowOff>
                  </to>
                </anchor>
              </controlPr>
            </control>
          </mc:Choice>
        </mc:AlternateContent>
        <mc:AlternateContent xmlns:mc="http://schemas.openxmlformats.org/markup-compatibility/2006">
          <mc:Choice Requires="x14">
            <control shapeId="38916" r:id="rId6" name="Drop Down 4">
              <controlPr defaultSize="0" autoLine="0" autoPict="0">
                <anchor moveWithCells="1">
                  <from>
                    <xdr:col>3</xdr:col>
                    <xdr:colOff>0</xdr:colOff>
                    <xdr:row>12</xdr:row>
                    <xdr:rowOff>38100</xdr:rowOff>
                  </from>
                  <to>
                    <xdr:col>3</xdr:col>
                    <xdr:colOff>1800225</xdr:colOff>
                    <xdr:row>13</xdr:row>
                    <xdr:rowOff>47625</xdr:rowOff>
                  </to>
                </anchor>
              </controlPr>
            </control>
          </mc:Choice>
        </mc:AlternateContent>
        <mc:AlternateContent xmlns:mc="http://schemas.openxmlformats.org/markup-compatibility/2006">
          <mc:Choice Requires="x14">
            <control shapeId="38917" r:id="rId7" name="Drop Down 5">
              <controlPr defaultSize="0" autoLine="0" autoPict="0">
                <anchor moveWithCells="1">
                  <from>
                    <xdr:col>3</xdr:col>
                    <xdr:colOff>0</xdr:colOff>
                    <xdr:row>16</xdr:row>
                    <xdr:rowOff>28575</xdr:rowOff>
                  </from>
                  <to>
                    <xdr:col>3</xdr:col>
                    <xdr:colOff>1800225</xdr:colOff>
                    <xdr:row>17</xdr:row>
                    <xdr:rowOff>38100</xdr:rowOff>
                  </to>
                </anchor>
              </controlPr>
            </control>
          </mc:Choice>
        </mc:AlternateContent>
        <mc:AlternateContent xmlns:mc="http://schemas.openxmlformats.org/markup-compatibility/2006">
          <mc:Choice Requires="x14">
            <control shapeId="38918" r:id="rId8" name="Drop Down 6">
              <controlPr defaultSize="0" autoLine="0" autoPict="0">
                <anchor moveWithCells="1">
                  <from>
                    <xdr:col>3</xdr:col>
                    <xdr:colOff>0</xdr:colOff>
                    <xdr:row>20</xdr:row>
                    <xdr:rowOff>28575</xdr:rowOff>
                  </from>
                  <to>
                    <xdr:col>3</xdr:col>
                    <xdr:colOff>1800225</xdr:colOff>
                    <xdr:row>21</xdr:row>
                    <xdr:rowOff>38100</xdr:rowOff>
                  </to>
                </anchor>
              </controlPr>
            </control>
          </mc:Choice>
        </mc:AlternateContent>
        <mc:AlternateContent xmlns:mc="http://schemas.openxmlformats.org/markup-compatibility/2006">
          <mc:Choice Requires="x14">
            <control shapeId="38919" r:id="rId9" name="Drop Down 7">
              <controlPr defaultSize="0" autoLine="0" autoPict="0">
                <anchor moveWithCells="1">
                  <from>
                    <xdr:col>2</xdr:col>
                    <xdr:colOff>3629025</xdr:colOff>
                    <xdr:row>24</xdr:row>
                    <xdr:rowOff>38100</xdr:rowOff>
                  </from>
                  <to>
                    <xdr:col>3</xdr:col>
                    <xdr:colOff>1781175</xdr:colOff>
                    <xdr:row>25</xdr:row>
                    <xdr:rowOff>47625</xdr:rowOff>
                  </to>
                </anchor>
              </controlPr>
            </control>
          </mc:Choice>
        </mc:AlternateContent>
        <mc:AlternateContent xmlns:mc="http://schemas.openxmlformats.org/markup-compatibility/2006">
          <mc:Choice Requires="x14">
            <control shapeId="38920" r:id="rId10" name="Drop Down 8">
              <controlPr defaultSize="0" autoLine="0" autoPict="0">
                <anchor moveWithCells="1">
                  <from>
                    <xdr:col>3</xdr:col>
                    <xdr:colOff>0</xdr:colOff>
                    <xdr:row>50</xdr:row>
                    <xdr:rowOff>0</xdr:rowOff>
                  </from>
                  <to>
                    <xdr:col>3</xdr:col>
                    <xdr:colOff>1800225</xdr:colOff>
                    <xdr:row>51</xdr:row>
                    <xdr:rowOff>9525</xdr:rowOff>
                  </to>
                </anchor>
              </controlPr>
            </control>
          </mc:Choice>
        </mc:AlternateContent>
        <mc:AlternateContent xmlns:mc="http://schemas.openxmlformats.org/markup-compatibility/2006">
          <mc:Choice Requires="x14">
            <control shapeId="38921" r:id="rId11" name="Drop Down 9">
              <controlPr defaultSize="0" autoLine="0" autoPict="0">
                <anchor moveWithCells="1">
                  <from>
                    <xdr:col>3</xdr:col>
                    <xdr:colOff>9525</xdr:colOff>
                    <xdr:row>52</xdr:row>
                    <xdr:rowOff>0</xdr:rowOff>
                  </from>
                  <to>
                    <xdr:col>3</xdr:col>
                    <xdr:colOff>1809750</xdr:colOff>
                    <xdr:row>53</xdr:row>
                    <xdr:rowOff>9525</xdr:rowOff>
                  </to>
                </anchor>
              </controlPr>
            </control>
          </mc:Choice>
        </mc:AlternateContent>
        <mc:AlternateContent xmlns:mc="http://schemas.openxmlformats.org/markup-compatibility/2006">
          <mc:Choice Requires="x14">
            <control shapeId="38922" r:id="rId12" name="Drop Down 10">
              <controlPr defaultSize="0" autoLine="0" autoPict="0">
                <anchor moveWithCells="1">
                  <from>
                    <xdr:col>3</xdr:col>
                    <xdr:colOff>0</xdr:colOff>
                    <xdr:row>53</xdr:row>
                    <xdr:rowOff>180975</xdr:rowOff>
                  </from>
                  <to>
                    <xdr:col>3</xdr:col>
                    <xdr:colOff>1800225</xdr:colOff>
                    <xdr:row>55</xdr:row>
                    <xdr:rowOff>0</xdr:rowOff>
                  </to>
                </anchor>
              </controlPr>
            </control>
          </mc:Choice>
        </mc:AlternateContent>
        <mc:AlternateContent xmlns:mc="http://schemas.openxmlformats.org/markup-compatibility/2006">
          <mc:Choice Requires="x14">
            <control shapeId="38923" r:id="rId13" name="Drop Down 11">
              <controlPr defaultSize="0" autoLine="0" autoPict="0">
                <anchor moveWithCells="1">
                  <from>
                    <xdr:col>3</xdr:col>
                    <xdr:colOff>0</xdr:colOff>
                    <xdr:row>56</xdr:row>
                    <xdr:rowOff>0</xdr:rowOff>
                  </from>
                  <to>
                    <xdr:col>3</xdr:col>
                    <xdr:colOff>1800225</xdr:colOff>
                    <xdr:row>57</xdr:row>
                    <xdr:rowOff>9525</xdr:rowOff>
                  </to>
                </anchor>
              </controlPr>
            </control>
          </mc:Choice>
        </mc:AlternateContent>
        <mc:AlternateContent xmlns:mc="http://schemas.openxmlformats.org/markup-compatibility/2006">
          <mc:Choice Requires="x14">
            <control shapeId="38925" r:id="rId14" name="Drop Down 13">
              <controlPr defaultSize="0" autoLine="0" autoPict="0">
                <anchor moveWithCells="1">
                  <from>
                    <xdr:col>3</xdr:col>
                    <xdr:colOff>0</xdr:colOff>
                    <xdr:row>31</xdr:row>
                    <xdr:rowOff>0</xdr:rowOff>
                  </from>
                  <to>
                    <xdr:col>3</xdr:col>
                    <xdr:colOff>1800225</xdr:colOff>
                    <xdr:row>31</xdr:row>
                    <xdr:rowOff>200025</xdr:rowOff>
                  </to>
                </anchor>
              </controlPr>
            </control>
          </mc:Choice>
        </mc:AlternateContent>
        <mc:AlternateContent xmlns:mc="http://schemas.openxmlformats.org/markup-compatibility/2006">
          <mc:Choice Requires="x14">
            <control shapeId="38938" r:id="rId15" name="Drop Down 26">
              <controlPr defaultSize="0" autoLine="0" autoPict="0">
                <anchor moveWithCells="1">
                  <from>
                    <xdr:col>3</xdr:col>
                    <xdr:colOff>0</xdr:colOff>
                    <xdr:row>32</xdr:row>
                    <xdr:rowOff>0</xdr:rowOff>
                  </from>
                  <to>
                    <xdr:col>3</xdr:col>
                    <xdr:colOff>1800225</xdr:colOff>
                    <xdr:row>32</xdr:row>
                    <xdr:rowOff>200025</xdr:rowOff>
                  </to>
                </anchor>
              </controlPr>
            </control>
          </mc:Choice>
        </mc:AlternateContent>
        <mc:AlternateContent xmlns:mc="http://schemas.openxmlformats.org/markup-compatibility/2006">
          <mc:Choice Requires="x14">
            <control shapeId="38939" r:id="rId16" name="Drop Down 27">
              <controlPr defaultSize="0" autoLine="0" autoPict="0">
                <anchor moveWithCells="1">
                  <from>
                    <xdr:col>3</xdr:col>
                    <xdr:colOff>0</xdr:colOff>
                    <xdr:row>33</xdr:row>
                    <xdr:rowOff>0</xdr:rowOff>
                  </from>
                  <to>
                    <xdr:col>3</xdr:col>
                    <xdr:colOff>1800225</xdr:colOff>
                    <xdr:row>33</xdr:row>
                    <xdr:rowOff>200025</xdr:rowOff>
                  </to>
                </anchor>
              </controlPr>
            </control>
          </mc:Choice>
        </mc:AlternateContent>
        <mc:AlternateContent xmlns:mc="http://schemas.openxmlformats.org/markup-compatibility/2006">
          <mc:Choice Requires="x14">
            <control shapeId="38940" r:id="rId17" name="Drop Down 28">
              <controlPr defaultSize="0" autoLine="0" autoPict="0">
                <anchor moveWithCells="1">
                  <from>
                    <xdr:col>3</xdr:col>
                    <xdr:colOff>0</xdr:colOff>
                    <xdr:row>33</xdr:row>
                    <xdr:rowOff>219075</xdr:rowOff>
                  </from>
                  <to>
                    <xdr:col>3</xdr:col>
                    <xdr:colOff>1800225</xdr:colOff>
                    <xdr:row>34</xdr:row>
                    <xdr:rowOff>200025</xdr:rowOff>
                  </to>
                </anchor>
              </controlPr>
            </control>
          </mc:Choice>
        </mc:AlternateContent>
        <mc:AlternateContent xmlns:mc="http://schemas.openxmlformats.org/markup-compatibility/2006">
          <mc:Choice Requires="x14">
            <control shapeId="38941" r:id="rId18" name="Drop Down 29">
              <controlPr defaultSize="0" autoLine="0" autoPict="0">
                <anchor moveWithCells="1">
                  <from>
                    <xdr:col>3</xdr:col>
                    <xdr:colOff>0</xdr:colOff>
                    <xdr:row>34</xdr:row>
                    <xdr:rowOff>219075</xdr:rowOff>
                  </from>
                  <to>
                    <xdr:col>3</xdr:col>
                    <xdr:colOff>1800225</xdr:colOff>
                    <xdr:row>35</xdr:row>
                    <xdr:rowOff>200025</xdr:rowOff>
                  </to>
                </anchor>
              </controlPr>
            </control>
          </mc:Choice>
        </mc:AlternateContent>
        <mc:AlternateContent xmlns:mc="http://schemas.openxmlformats.org/markup-compatibility/2006">
          <mc:Choice Requires="x14">
            <control shapeId="38942" r:id="rId19" name="Drop Down 30">
              <controlPr defaultSize="0" autoLine="0" autoPict="0">
                <anchor moveWithCells="1">
                  <from>
                    <xdr:col>3</xdr:col>
                    <xdr:colOff>0</xdr:colOff>
                    <xdr:row>35</xdr:row>
                    <xdr:rowOff>219075</xdr:rowOff>
                  </from>
                  <to>
                    <xdr:col>3</xdr:col>
                    <xdr:colOff>1800225</xdr:colOff>
                    <xdr:row>36</xdr:row>
                    <xdr:rowOff>200025</xdr:rowOff>
                  </to>
                </anchor>
              </controlPr>
            </control>
          </mc:Choice>
        </mc:AlternateContent>
        <mc:AlternateContent xmlns:mc="http://schemas.openxmlformats.org/markup-compatibility/2006">
          <mc:Choice Requires="x14">
            <control shapeId="38943" r:id="rId20" name="Drop Down 31">
              <controlPr defaultSize="0" autoLine="0" autoPict="0">
                <anchor moveWithCells="1">
                  <from>
                    <xdr:col>3</xdr:col>
                    <xdr:colOff>0</xdr:colOff>
                    <xdr:row>36</xdr:row>
                    <xdr:rowOff>219075</xdr:rowOff>
                  </from>
                  <to>
                    <xdr:col>3</xdr:col>
                    <xdr:colOff>1800225</xdr:colOff>
                    <xdr:row>37</xdr:row>
                    <xdr:rowOff>200025</xdr:rowOff>
                  </to>
                </anchor>
              </controlPr>
            </control>
          </mc:Choice>
        </mc:AlternateContent>
        <mc:AlternateContent xmlns:mc="http://schemas.openxmlformats.org/markup-compatibility/2006">
          <mc:Choice Requires="x14">
            <control shapeId="38944" r:id="rId21" name="Drop Down 32">
              <controlPr defaultSize="0" autoLine="0" autoPict="0">
                <anchor moveWithCells="1">
                  <from>
                    <xdr:col>3</xdr:col>
                    <xdr:colOff>0</xdr:colOff>
                    <xdr:row>38</xdr:row>
                    <xdr:rowOff>0</xdr:rowOff>
                  </from>
                  <to>
                    <xdr:col>3</xdr:col>
                    <xdr:colOff>1800225</xdr:colOff>
                    <xdr:row>38</xdr:row>
                    <xdr:rowOff>200025</xdr:rowOff>
                  </to>
                </anchor>
              </controlPr>
            </control>
          </mc:Choice>
        </mc:AlternateContent>
        <mc:AlternateContent xmlns:mc="http://schemas.openxmlformats.org/markup-compatibility/2006">
          <mc:Choice Requires="x14">
            <control shapeId="38945" r:id="rId22" name="Drop Down 33">
              <controlPr defaultSize="0" autoLine="0" autoPict="0">
                <anchor moveWithCells="1">
                  <from>
                    <xdr:col>3</xdr:col>
                    <xdr:colOff>0</xdr:colOff>
                    <xdr:row>39</xdr:row>
                    <xdr:rowOff>9525</xdr:rowOff>
                  </from>
                  <to>
                    <xdr:col>3</xdr:col>
                    <xdr:colOff>1800225</xdr:colOff>
                    <xdr:row>39</xdr:row>
                    <xdr:rowOff>209550</xdr:rowOff>
                  </to>
                </anchor>
              </controlPr>
            </control>
          </mc:Choice>
        </mc:AlternateContent>
        <mc:AlternateContent xmlns:mc="http://schemas.openxmlformats.org/markup-compatibility/2006">
          <mc:Choice Requires="x14">
            <control shapeId="38946" r:id="rId23" name="Drop Down 34">
              <controlPr defaultSize="0" autoLine="0" autoPict="0">
                <anchor moveWithCells="1">
                  <from>
                    <xdr:col>3</xdr:col>
                    <xdr:colOff>0</xdr:colOff>
                    <xdr:row>40</xdr:row>
                    <xdr:rowOff>0</xdr:rowOff>
                  </from>
                  <to>
                    <xdr:col>3</xdr:col>
                    <xdr:colOff>1800225</xdr:colOff>
                    <xdr:row>40</xdr:row>
                    <xdr:rowOff>200025</xdr:rowOff>
                  </to>
                </anchor>
              </controlPr>
            </control>
          </mc:Choice>
        </mc:AlternateContent>
        <mc:AlternateContent xmlns:mc="http://schemas.openxmlformats.org/markup-compatibility/2006">
          <mc:Choice Requires="x14">
            <control shapeId="38947" r:id="rId24" name="Drop Down 35">
              <controlPr defaultSize="0" autoLine="0" autoPict="0">
                <anchor moveWithCells="1">
                  <from>
                    <xdr:col>3</xdr:col>
                    <xdr:colOff>0</xdr:colOff>
                    <xdr:row>41</xdr:row>
                    <xdr:rowOff>0</xdr:rowOff>
                  </from>
                  <to>
                    <xdr:col>3</xdr:col>
                    <xdr:colOff>1800225</xdr:colOff>
                    <xdr:row>41</xdr:row>
                    <xdr:rowOff>200025</xdr:rowOff>
                  </to>
                </anchor>
              </controlPr>
            </control>
          </mc:Choice>
        </mc:AlternateContent>
        <mc:AlternateContent xmlns:mc="http://schemas.openxmlformats.org/markup-compatibility/2006">
          <mc:Choice Requires="x14">
            <control shapeId="38948" r:id="rId25" name="Drop Down 36">
              <controlPr defaultSize="0" autoLine="0" autoPict="0">
                <anchor moveWithCells="1">
                  <from>
                    <xdr:col>3</xdr:col>
                    <xdr:colOff>0</xdr:colOff>
                    <xdr:row>43</xdr:row>
                    <xdr:rowOff>0</xdr:rowOff>
                  </from>
                  <to>
                    <xdr:col>3</xdr:col>
                    <xdr:colOff>1800225</xdr:colOff>
                    <xdr:row>43</xdr:row>
                    <xdr:rowOff>200025</xdr:rowOff>
                  </to>
                </anchor>
              </controlPr>
            </control>
          </mc:Choice>
        </mc:AlternateContent>
        <mc:AlternateContent xmlns:mc="http://schemas.openxmlformats.org/markup-compatibility/2006">
          <mc:Choice Requires="x14">
            <control shapeId="38949" r:id="rId26" name="Drop Down 37">
              <controlPr defaultSize="0" autoLine="0" autoPict="0">
                <anchor moveWithCells="1">
                  <from>
                    <xdr:col>3</xdr:col>
                    <xdr:colOff>0</xdr:colOff>
                    <xdr:row>41</xdr:row>
                    <xdr:rowOff>219075</xdr:rowOff>
                  </from>
                  <to>
                    <xdr:col>3</xdr:col>
                    <xdr:colOff>1800225</xdr:colOff>
                    <xdr:row>42</xdr:row>
                    <xdr:rowOff>200025</xdr:rowOff>
                  </to>
                </anchor>
              </controlPr>
            </control>
          </mc:Choice>
        </mc:AlternateContent>
        <mc:AlternateContent xmlns:mc="http://schemas.openxmlformats.org/markup-compatibility/2006">
          <mc:Choice Requires="x14">
            <control shapeId="38950" r:id="rId27" name="Drop Down 38">
              <controlPr defaultSize="0" autoLine="0" autoPict="0">
                <anchor moveWithCells="1">
                  <from>
                    <xdr:col>3</xdr:col>
                    <xdr:colOff>0</xdr:colOff>
                    <xdr:row>44</xdr:row>
                    <xdr:rowOff>0</xdr:rowOff>
                  </from>
                  <to>
                    <xdr:col>3</xdr:col>
                    <xdr:colOff>1800225</xdr:colOff>
                    <xdr:row>44</xdr:row>
                    <xdr:rowOff>209550</xdr:rowOff>
                  </to>
                </anchor>
              </controlPr>
            </control>
          </mc:Choice>
        </mc:AlternateContent>
        <mc:AlternateContent xmlns:mc="http://schemas.openxmlformats.org/markup-compatibility/2006">
          <mc:Choice Requires="x14">
            <control shapeId="38951" r:id="rId28" name="Drop Down 39">
              <controlPr defaultSize="0" autoLine="0" autoPict="0">
                <anchor moveWithCells="1">
                  <from>
                    <xdr:col>3</xdr:col>
                    <xdr:colOff>0</xdr:colOff>
                    <xdr:row>45</xdr:row>
                    <xdr:rowOff>0</xdr:rowOff>
                  </from>
                  <to>
                    <xdr:col>3</xdr:col>
                    <xdr:colOff>1800225</xdr:colOff>
                    <xdr:row>45</xdr:row>
                    <xdr:rowOff>209550</xdr:rowOff>
                  </to>
                </anchor>
              </controlPr>
            </control>
          </mc:Choice>
        </mc:AlternateContent>
        <mc:AlternateContent xmlns:mc="http://schemas.openxmlformats.org/markup-compatibility/2006">
          <mc:Choice Requires="x14">
            <control shapeId="38952" r:id="rId29" name="Drop Down 40">
              <controlPr defaultSize="0" autoLine="0" autoPict="0">
                <anchor moveWithCells="1">
                  <from>
                    <xdr:col>3</xdr:col>
                    <xdr:colOff>0</xdr:colOff>
                    <xdr:row>46</xdr:row>
                    <xdr:rowOff>0</xdr:rowOff>
                  </from>
                  <to>
                    <xdr:col>3</xdr:col>
                    <xdr:colOff>1800225</xdr:colOff>
                    <xdr:row>46</xdr:row>
                    <xdr:rowOff>200025</xdr:rowOff>
                  </to>
                </anchor>
              </controlPr>
            </control>
          </mc:Choice>
        </mc:AlternateContent>
        <mc:AlternateContent xmlns:mc="http://schemas.openxmlformats.org/markup-compatibility/2006">
          <mc:Choice Requires="x14">
            <control shapeId="38954" r:id="rId30" name="Drop Down 42">
              <controlPr defaultSize="0" autoLine="0" autoPict="0">
                <anchor moveWithCells="1">
                  <from>
                    <xdr:col>2</xdr:col>
                    <xdr:colOff>3638550</xdr:colOff>
                    <xdr:row>3</xdr:row>
                    <xdr:rowOff>57150</xdr:rowOff>
                  </from>
                  <to>
                    <xdr:col>3</xdr:col>
                    <xdr:colOff>1800225</xdr:colOff>
                    <xdr:row>4</xdr:row>
                    <xdr:rowOff>66675</xdr:rowOff>
                  </to>
                </anchor>
              </controlPr>
            </control>
          </mc:Choice>
        </mc:AlternateContent>
        <mc:AlternateContent xmlns:mc="http://schemas.openxmlformats.org/markup-compatibility/2006">
          <mc:Choice Requires="x14">
            <control shapeId="38956" r:id="rId31" name="Drop Down 44">
              <controlPr defaultSize="0" autoLine="0" autoPict="0">
                <anchor moveWithCells="1">
                  <from>
                    <xdr:col>3</xdr:col>
                    <xdr:colOff>9525</xdr:colOff>
                    <xdr:row>27</xdr:row>
                    <xdr:rowOff>38100</xdr:rowOff>
                  </from>
                  <to>
                    <xdr:col>3</xdr:col>
                    <xdr:colOff>1809750</xdr:colOff>
                    <xdr:row>28</xdr:row>
                    <xdr:rowOff>47625</xdr:rowOff>
                  </to>
                </anchor>
              </controlPr>
            </control>
          </mc:Choice>
        </mc:AlternateContent>
        <mc:AlternateContent xmlns:mc="http://schemas.openxmlformats.org/markup-compatibility/2006">
          <mc:Choice Requires="x14">
            <control shapeId="38957" r:id="rId32" name="Drop Down 45">
              <controlPr defaultSize="0" autoLine="0" autoPict="0">
                <anchor moveWithCells="1">
                  <from>
                    <xdr:col>3</xdr:col>
                    <xdr:colOff>9525</xdr:colOff>
                    <xdr:row>58</xdr:row>
                    <xdr:rowOff>0</xdr:rowOff>
                  </from>
                  <to>
                    <xdr:col>3</xdr:col>
                    <xdr:colOff>1809750</xdr:colOff>
                    <xdr:row>59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45679-162A-47A6-90EA-03FD7799E470}">
  <sheetPr>
    <tabColor theme="6" tint="0.59999389629810485"/>
  </sheetPr>
  <dimension ref="A1:P84"/>
  <sheetViews>
    <sheetView showGridLines="0" zoomScale="115" zoomScaleNormal="115" workbookViewId="0">
      <pane ySplit="1" topLeftCell="A32" activePane="bottomLeft" state="frozen"/>
      <selection activeCell="C23" sqref="C23"/>
      <selection pane="bottomLeft" activeCell="D2" sqref="D2"/>
    </sheetView>
  </sheetViews>
  <sheetFormatPr defaultRowHeight="15" x14ac:dyDescent="0.25"/>
  <cols>
    <col min="1" max="1" width="5.5703125" style="1" customWidth="1"/>
    <col min="2" max="2" width="3.85546875" customWidth="1"/>
    <col min="3" max="3" width="54.7109375" customWidth="1"/>
    <col min="4" max="4" width="36.42578125" customWidth="1"/>
    <col min="5" max="5" width="60.7109375" customWidth="1"/>
    <col min="6" max="6" width="15.140625" hidden="1" customWidth="1"/>
    <col min="7" max="16" width="9.140625" style="36"/>
  </cols>
  <sheetData>
    <row r="1" spans="1:6" x14ac:dyDescent="0.25">
      <c r="A1" s="35" t="s">
        <v>208</v>
      </c>
      <c r="B1" s="36"/>
      <c r="C1" s="36"/>
      <c r="D1" s="36"/>
      <c r="E1" s="90" t="str">
        <f>"Risk Ranking - "&amp;ROUND('Derailment Prec Score'!B25,1)</f>
        <v>Risk Ranking - 18.6</v>
      </c>
      <c r="F1" s="36"/>
    </row>
    <row r="2" spans="1:6" x14ac:dyDescent="0.25">
      <c r="A2" s="35"/>
      <c r="B2" s="36"/>
      <c r="C2" s="36"/>
      <c r="D2" s="36"/>
      <c r="E2" s="37" t="s">
        <v>216</v>
      </c>
      <c r="F2" s="36"/>
    </row>
    <row r="3" spans="1:6" x14ac:dyDescent="0.25">
      <c r="A3" s="19">
        <v>1</v>
      </c>
      <c r="B3" s="20" t="s">
        <v>88</v>
      </c>
      <c r="C3" s="21"/>
      <c r="D3" s="21"/>
      <c r="E3" s="114" t="s">
        <v>224</v>
      </c>
      <c r="F3">
        <v>2</v>
      </c>
    </row>
    <row r="4" spans="1:6" x14ac:dyDescent="0.25">
      <c r="A4" s="22"/>
      <c r="B4" s="23"/>
      <c r="C4" s="24" t="s">
        <v>84</v>
      </c>
      <c r="D4" s="24"/>
      <c r="E4" s="115"/>
    </row>
    <row r="5" spans="1:6" x14ac:dyDescent="0.25">
      <c r="A5" s="22"/>
      <c r="B5" s="23"/>
      <c r="C5" s="24" t="s">
        <v>85</v>
      </c>
      <c r="D5" s="24"/>
      <c r="E5" s="115"/>
    </row>
    <row r="6" spans="1:6" x14ac:dyDescent="0.25">
      <c r="A6" s="22"/>
      <c r="B6" s="23"/>
      <c r="C6" s="24" t="s">
        <v>89</v>
      </c>
      <c r="D6" s="24"/>
      <c r="E6" s="115"/>
    </row>
    <row r="7" spans="1:6" x14ac:dyDescent="0.25">
      <c r="A7" s="25"/>
      <c r="B7" s="6"/>
      <c r="C7" s="26" t="s">
        <v>83</v>
      </c>
      <c r="D7" s="26"/>
      <c r="E7" s="116"/>
    </row>
    <row r="8" spans="1:6" x14ac:dyDescent="0.25">
      <c r="A8" s="35"/>
      <c r="B8" s="36"/>
      <c r="C8" s="36"/>
      <c r="D8" s="36"/>
      <c r="E8" s="36"/>
      <c r="F8" s="36"/>
    </row>
    <row r="9" spans="1:6" x14ac:dyDescent="0.25">
      <c r="A9" s="19">
        <v>2</v>
      </c>
      <c r="B9" s="20" t="s">
        <v>118</v>
      </c>
      <c r="C9" s="21"/>
      <c r="D9" s="21"/>
      <c r="E9" s="107" t="s">
        <v>222</v>
      </c>
      <c r="F9">
        <v>2</v>
      </c>
    </row>
    <row r="10" spans="1:6" ht="15" customHeight="1" x14ac:dyDescent="0.25">
      <c r="A10" s="22"/>
      <c r="B10" s="23"/>
      <c r="C10" s="24" t="s">
        <v>373</v>
      </c>
      <c r="D10" s="24"/>
      <c r="E10" s="108"/>
    </row>
    <row r="11" spans="1:6" x14ac:dyDescent="0.25">
      <c r="A11" s="22"/>
      <c r="B11" s="23"/>
      <c r="C11" s="24" t="s">
        <v>372</v>
      </c>
      <c r="D11" s="24"/>
      <c r="E11" s="108"/>
    </row>
    <row r="12" spans="1:6" x14ac:dyDescent="0.25">
      <c r="A12" s="25"/>
      <c r="B12" s="6"/>
      <c r="C12" s="26" t="s">
        <v>374</v>
      </c>
      <c r="D12" s="26"/>
      <c r="E12" s="109"/>
    </row>
    <row r="13" spans="1:6" x14ac:dyDescent="0.25">
      <c r="A13" s="35"/>
      <c r="B13" s="36"/>
      <c r="C13" s="36"/>
      <c r="D13" s="36"/>
      <c r="E13" s="36"/>
      <c r="F13" s="36"/>
    </row>
    <row r="14" spans="1:6" ht="15" customHeight="1" x14ac:dyDescent="0.25">
      <c r="A14" s="19">
        <v>3</v>
      </c>
      <c r="B14" s="20" t="s">
        <v>86</v>
      </c>
      <c r="C14" s="21"/>
      <c r="D14" s="21"/>
      <c r="E14" s="110" t="s">
        <v>217</v>
      </c>
      <c r="F14">
        <v>2</v>
      </c>
    </row>
    <row r="15" spans="1:6" x14ac:dyDescent="0.25">
      <c r="A15" s="22"/>
      <c r="B15" s="23"/>
      <c r="C15" s="23" t="s">
        <v>2</v>
      </c>
      <c r="D15" s="23"/>
      <c r="E15" s="111"/>
    </row>
    <row r="16" spans="1:6" x14ac:dyDescent="0.25">
      <c r="A16" s="25"/>
      <c r="B16" s="6"/>
      <c r="C16" s="6" t="s">
        <v>0</v>
      </c>
      <c r="D16" s="6"/>
      <c r="E16" s="112"/>
    </row>
    <row r="17" spans="1:6" x14ac:dyDescent="0.25">
      <c r="A17" s="35"/>
      <c r="B17" s="36"/>
      <c r="C17" s="36"/>
      <c r="D17" s="36"/>
      <c r="E17" s="36"/>
      <c r="F17" s="36"/>
    </row>
    <row r="18" spans="1:6" x14ac:dyDescent="0.25">
      <c r="A18" s="19">
        <v>4</v>
      </c>
      <c r="B18" s="20" t="s">
        <v>223</v>
      </c>
      <c r="C18" s="21"/>
      <c r="D18" s="21"/>
      <c r="E18" s="110" t="s">
        <v>218</v>
      </c>
      <c r="F18">
        <v>1</v>
      </c>
    </row>
    <row r="19" spans="1:6" x14ac:dyDescent="0.25">
      <c r="A19" s="22"/>
      <c r="B19" s="23"/>
      <c r="C19" s="23" t="s">
        <v>2</v>
      </c>
      <c r="D19" s="23"/>
      <c r="E19" s="111"/>
    </row>
    <row r="20" spans="1:6" x14ac:dyDescent="0.25">
      <c r="A20" s="25"/>
      <c r="B20" s="6"/>
      <c r="C20" s="6" t="s">
        <v>0</v>
      </c>
      <c r="D20" s="6"/>
      <c r="E20" s="112"/>
    </row>
    <row r="21" spans="1:6" x14ac:dyDescent="0.25">
      <c r="A21" s="35"/>
      <c r="B21" s="36"/>
      <c r="C21" s="36"/>
      <c r="D21" s="36"/>
      <c r="E21" s="36"/>
      <c r="F21" s="36"/>
    </row>
    <row r="22" spans="1:6" x14ac:dyDescent="0.25">
      <c r="A22" s="19">
        <v>5</v>
      </c>
      <c r="B22" s="20" t="s">
        <v>119</v>
      </c>
      <c r="C22" s="21"/>
      <c r="D22" s="21"/>
      <c r="E22" s="27"/>
      <c r="F22">
        <v>2</v>
      </c>
    </row>
    <row r="23" spans="1:6" x14ac:dyDescent="0.25">
      <c r="A23" s="22"/>
      <c r="B23" s="23"/>
      <c r="C23" s="23" t="s">
        <v>2</v>
      </c>
      <c r="D23" s="28"/>
      <c r="E23" s="29"/>
    </row>
    <row r="24" spans="1:6" x14ac:dyDescent="0.25">
      <c r="A24" s="25"/>
      <c r="B24" s="6"/>
      <c r="C24" s="6" t="s">
        <v>0</v>
      </c>
      <c r="D24" s="30"/>
      <c r="E24" s="31"/>
      <c r="F24" s="36"/>
    </row>
    <row r="25" spans="1:6" x14ac:dyDescent="0.25">
      <c r="A25" s="35"/>
      <c r="B25" s="38"/>
      <c r="C25" s="36"/>
      <c r="D25" s="36"/>
      <c r="E25" s="36"/>
      <c r="F25" s="36"/>
    </row>
    <row r="26" spans="1:6" x14ac:dyDescent="0.25">
      <c r="A26" s="19">
        <v>6</v>
      </c>
      <c r="B26" s="20" t="s">
        <v>82</v>
      </c>
      <c r="C26" s="21"/>
      <c r="D26" s="21"/>
      <c r="E26" s="110" t="s">
        <v>219</v>
      </c>
      <c r="F26">
        <v>2</v>
      </c>
    </row>
    <row r="27" spans="1:6" x14ac:dyDescent="0.25">
      <c r="A27" s="22"/>
      <c r="B27" s="23"/>
      <c r="C27" s="23" t="s">
        <v>445</v>
      </c>
      <c r="D27" s="23"/>
      <c r="E27" s="111"/>
    </row>
    <row r="28" spans="1:6" x14ac:dyDescent="0.25">
      <c r="A28" s="25"/>
      <c r="B28" s="6"/>
      <c r="C28" s="6" t="s">
        <v>120</v>
      </c>
      <c r="D28" s="6"/>
      <c r="E28" s="112"/>
    </row>
    <row r="29" spans="1:6" x14ac:dyDescent="0.25">
      <c r="A29" s="35"/>
      <c r="B29" s="36"/>
      <c r="C29" s="36"/>
      <c r="D29" s="36"/>
      <c r="E29" s="36"/>
      <c r="F29" s="36"/>
    </row>
    <row r="30" spans="1:6" x14ac:dyDescent="0.25">
      <c r="A30" s="19">
        <v>7</v>
      </c>
      <c r="B30" s="20" t="s">
        <v>122</v>
      </c>
      <c r="C30" s="21"/>
      <c r="D30" s="21"/>
      <c r="E30" s="110" t="s">
        <v>220</v>
      </c>
      <c r="F30">
        <v>10</v>
      </c>
    </row>
    <row r="31" spans="1:6" x14ac:dyDescent="0.25">
      <c r="A31" s="25"/>
      <c r="B31" s="6"/>
      <c r="C31" s="6"/>
      <c r="D31" s="6"/>
      <c r="E31" s="112"/>
    </row>
    <row r="32" spans="1:6" ht="15" customHeight="1" x14ac:dyDescent="0.25">
      <c r="A32" s="35"/>
      <c r="B32" s="38"/>
      <c r="C32" s="36"/>
      <c r="D32" s="36"/>
      <c r="E32" s="36"/>
    </row>
    <row r="33" spans="1:6" ht="15" customHeight="1" x14ac:dyDescent="0.25">
      <c r="A33" s="19">
        <v>8</v>
      </c>
      <c r="B33" s="20" t="s">
        <v>376</v>
      </c>
      <c r="C33" s="21"/>
      <c r="D33" s="21"/>
      <c r="E33" s="110" t="s">
        <v>393</v>
      </c>
      <c r="F33">
        <v>1</v>
      </c>
    </row>
    <row r="34" spans="1:6" ht="32.25" customHeight="1" x14ac:dyDescent="0.25">
      <c r="A34" s="25"/>
      <c r="B34" s="6"/>
      <c r="C34" s="6"/>
      <c r="D34" s="6"/>
      <c r="E34" s="113"/>
    </row>
    <row r="35" spans="1:6" x14ac:dyDescent="0.25">
      <c r="A35" s="39"/>
      <c r="B35" s="40"/>
      <c r="C35" s="40"/>
      <c r="D35" s="40"/>
      <c r="E35" s="41"/>
      <c r="F35" s="36"/>
    </row>
    <row r="36" spans="1:6" x14ac:dyDescent="0.25">
      <c r="A36" s="19">
        <v>9</v>
      </c>
      <c r="B36" s="20" t="s">
        <v>204</v>
      </c>
      <c r="C36" s="21"/>
      <c r="D36" s="21"/>
      <c r="E36" s="27"/>
    </row>
    <row r="37" spans="1:6" x14ac:dyDescent="0.25">
      <c r="A37" s="22"/>
      <c r="B37" s="23"/>
      <c r="C37" s="23" t="s">
        <v>448</v>
      </c>
      <c r="D37" s="23"/>
      <c r="E37" s="106" t="s">
        <v>221</v>
      </c>
      <c r="F37">
        <v>1</v>
      </c>
    </row>
    <row r="38" spans="1:6" x14ac:dyDescent="0.25">
      <c r="A38" s="22"/>
      <c r="B38" s="23"/>
      <c r="C38" s="23"/>
      <c r="D38" s="32"/>
      <c r="E38" s="106"/>
    </row>
    <row r="39" spans="1:6" x14ac:dyDescent="0.25">
      <c r="A39" s="22"/>
      <c r="B39" s="23"/>
      <c r="C39" s="32" t="s">
        <v>453</v>
      </c>
      <c r="D39" s="32"/>
      <c r="E39" s="106"/>
      <c r="F39">
        <v>1</v>
      </c>
    </row>
    <row r="40" spans="1:6" x14ac:dyDescent="0.25">
      <c r="A40" s="22"/>
      <c r="B40" s="23"/>
      <c r="C40" s="23"/>
      <c r="D40" s="32"/>
      <c r="E40" s="106"/>
    </row>
    <row r="41" spans="1:6" x14ac:dyDescent="0.25">
      <c r="A41" s="22"/>
      <c r="B41" s="32"/>
      <c r="C41" s="32" t="s">
        <v>454</v>
      </c>
      <c r="D41" s="23"/>
      <c r="E41" s="106"/>
      <c r="F41">
        <v>2</v>
      </c>
    </row>
    <row r="42" spans="1:6" x14ac:dyDescent="0.25">
      <c r="A42" s="22"/>
      <c r="B42" s="32"/>
      <c r="C42" s="23"/>
      <c r="D42" s="23"/>
      <c r="E42" s="106"/>
    </row>
    <row r="43" spans="1:6" x14ac:dyDescent="0.25">
      <c r="A43" s="22"/>
      <c r="B43" s="32"/>
      <c r="C43" s="32" t="s">
        <v>455</v>
      </c>
      <c r="D43" s="23"/>
      <c r="E43" s="106"/>
      <c r="F43">
        <v>2</v>
      </c>
    </row>
    <row r="44" spans="1:6" x14ac:dyDescent="0.25">
      <c r="A44" s="22"/>
      <c r="B44" s="32"/>
      <c r="C44" s="32"/>
      <c r="D44" s="23"/>
      <c r="E44" s="76"/>
    </row>
    <row r="45" spans="1:6" x14ac:dyDescent="0.25">
      <c r="A45" s="22"/>
      <c r="B45" s="32"/>
      <c r="C45" s="32" t="s">
        <v>456</v>
      </c>
      <c r="D45" s="23"/>
      <c r="E45" s="76"/>
      <c r="F45">
        <v>1</v>
      </c>
    </row>
    <row r="46" spans="1:6" x14ac:dyDescent="0.25">
      <c r="A46" s="25"/>
      <c r="B46" s="33"/>
      <c r="C46" s="6"/>
      <c r="D46" s="6"/>
      <c r="E46" s="34"/>
    </row>
    <row r="47" spans="1:6" x14ac:dyDescent="0.25">
      <c r="A47" s="35"/>
      <c r="B47" s="36"/>
      <c r="C47" s="36"/>
      <c r="D47" s="36"/>
      <c r="E47" s="36"/>
      <c r="F47" s="36"/>
    </row>
    <row r="48" spans="1:6" x14ac:dyDescent="0.25">
      <c r="A48" s="35"/>
      <c r="B48" s="36"/>
      <c r="C48" s="36"/>
      <c r="D48" s="36"/>
      <c r="E48" s="36"/>
      <c r="F48" s="36"/>
    </row>
    <row r="49" spans="1:6" x14ac:dyDescent="0.25">
      <c r="A49" s="35"/>
      <c r="B49" s="36"/>
      <c r="C49" s="36"/>
      <c r="D49" s="36"/>
      <c r="E49" s="36"/>
      <c r="F49" s="36"/>
    </row>
    <row r="50" spans="1:6" x14ac:dyDescent="0.25">
      <c r="A50" s="35"/>
      <c r="B50" s="36"/>
      <c r="C50" s="36"/>
      <c r="D50" s="36"/>
      <c r="E50" s="36"/>
      <c r="F50" s="36"/>
    </row>
    <row r="51" spans="1:6" x14ac:dyDescent="0.25">
      <c r="A51" s="35"/>
      <c r="B51" s="36"/>
      <c r="C51" s="36"/>
      <c r="D51" s="36"/>
      <c r="E51" s="36"/>
      <c r="F51" s="36"/>
    </row>
    <row r="52" spans="1:6" x14ac:dyDescent="0.25">
      <c r="A52" s="35"/>
      <c r="B52" s="36"/>
      <c r="C52" s="36"/>
      <c r="D52" s="36"/>
      <c r="E52" s="36"/>
      <c r="F52" s="36"/>
    </row>
    <row r="53" spans="1:6" x14ac:dyDescent="0.25">
      <c r="A53" s="35"/>
      <c r="B53" s="36"/>
      <c r="C53" s="36"/>
      <c r="D53" s="36"/>
      <c r="E53" s="36"/>
      <c r="F53" s="36"/>
    </row>
    <row r="54" spans="1:6" x14ac:dyDescent="0.25">
      <c r="A54" s="35"/>
      <c r="B54" s="36"/>
      <c r="C54" s="36"/>
      <c r="D54" s="36"/>
      <c r="E54" s="36"/>
    </row>
    <row r="55" spans="1:6" x14ac:dyDescent="0.25">
      <c r="A55" s="35"/>
      <c r="B55" s="36"/>
      <c r="C55" s="36"/>
      <c r="D55" s="36"/>
      <c r="E55" s="36"/>
    </row>
    <row r="56" spans="1:6" x14ac:dyDescent="0.25">
      <c r="A56" s="35"/>
      <c r="B56" s="36"/>
      <c r="C56" s="36"/>
      <c r="D56" s="36"/>
      <c r="E56" s="36"/>
    </row>
    <row r="57" spans="1:6" x14ac:dyDescent="0.25">
      <c r="A57" s="35"/>
      <c r="B57" s="36"/>
      <c r="C57" s="36"/>
      <c r="D57" s="36"/>
      <c r="E57" s="36"/>
    </row>
    <row r="58" spans="1:6" x14ac:dyDescent="0.25">
      <c r="A58" s="35"/>
      <c r="B58" s="36"/>
      <c r="C58" s="36"/>
      <c r="D58" s="36"/>
      <c r="E58" s="36"/>
    </row>
    <row r="59" spans="1:6" x14ac:dyDescent="0.25">
      <c r="A59" s="35"/>
      <c r="B59" s="36"/>
      <c r="C59" s="36"/>
      <c r="D59" s="36"/>
      <c r="E59" s="36"/>
    </row>
    <row r="60" spans="1:6" x14ac:dyDescent="0.25">
      <c r="A60" s="35"/>
      <c r="B60" s="36"/>
      <c r="C60" s="36"/>
      <c r="D60" s="36"/>
      <c r="E60" s="36"/>
    </row>
    <row r="61" spans="1:6" x14ac:dyDescent="0.25">
      <c r="A61" s="35"/>
      <c r="B61" s="36"/>
      <c r="C61" s="36"/>
      <c r="D61" s="36"/>
      <c r="E61" s="36"/>
    </row>
    <row r="62" spans="1:6" x14ac:dyDescent="0.25">
      <c r="A62" s="35"/>
      <c r="B62" s="36"/>
      <c r="C62" s="36"/>
      <c r="D62" s="36"/>
      <c r="E62" s="36"/>
    </row>
    <row r="63" spans="1:6" x14ac:dyDescent="0.25">
      <c r="A63" s="35"/>
      <c r="B63" s="36"/>
      <c r="C63" s="36"/>
      <c r="D63" s="36"/>
      <c r="E63" s="36"/>
    </row>
    <row r="64" spans="1:6" x14ac:dyDescent="0.25">
      <c r="A64" s="35"/>
      <c r="B64" s="36"/>
      <c r="C64" s="36"/>
      <c r="D64" s="36"/>
      <c r="E64" s="36"/>
    </row>
    <row r="65" spans="1:5" x14ac:dyDescent="0.25">
      <c r="A65" s="35"/>
      <c r="B65" s="36"/>
      <c r="C65" s="36"/>
      <c r="D65" s="36"/>
      <c r="E65" s="36"/>
    </row>
    <row r="66" spans="1:5" x14ac:dyDescent="0.25">
      <c r="A66" s="35"/>
      <c r="B66" s="36"/>
      <c r="C66" s="36"/>
      <c r="D66" s="36"/>
      <c r="E66" s="36"/>
    </row>
    <row r="67" spans="1:5" x14ac:dyDescent="0.25">
      <c r="A67" s="35"/>
      <c r="B67" s="36"/>
      <c r="C67" s="36"/>
      <c r="D67" s="36"/>
      <c r="E67" s="36"/>
    </row>
    <row r="68" spans="1:5" x14ac:dyDescent="0.25">
      <c r="A68" s="35"/>
      <c r="B68" s="36"/>
      <c r="C68" s="36"/>
      <c r="D68" s="36"/>
      <c r="E68" s="36"/>
    </row>
    <row r="69" spans="1:5" x14ac:dyDescent="0.25">
      <c r="A69" s="35"/>
      <c r="B69" s="36"/>
      <c r="C69" s="36"/>
      <c r="D69" s="36"/>
      <c r="E69" s="36"/>
    </row>
    <row r="70" spans="1:5" x14ac:dyDescent="0.25">
      <c r="A70" s="35"/>
      <c r="B70" s="36"/>
      <c r="C70" s="36"/>
      <c r="D70" s="36"/>
      <c r="E70" s="36"/>
    </row>
    <row r="71" spans="1:5" x14ac:dyDescent="0.25">
      <c r="A71" s="35"/>
      <c r="B71" s="36"/>
      <c r="C71" s="36"/>
      <c r="D71" s="36"/>
      <c r="E71" s="36"/>
    </row>
    <row r="72" spans="1:5" x14ac:dyDescent="0.25">
      <c r="A72" s="35"/>
      <c r="B72" s="36"/>
      <c r="C72" s="36"/>
      <c r="D72" s="36"/>
      <c r="E72" s="36"/>
    </row>
    <row r="73" spans="1:5" x14ac:dyDescent="0.25">
      <c r="A73" s="35"/>
      <c r="B73" s="36"/>
      <c r="C73" s="36"/>
      <c r="D73" s="36"/>
      <c r="E73" s="36"/>
    </row>
    <row r="74" spans="1:5" x14ac:dyDescent="0.25">
      <c r="A74" s="35"/>
      <c r="B74" s="36"/>
      <c r="C74" s="36"/>
      <c r="D74" s="36"/>
      <c r="E74" s="36"/>
    </row>
    <row r="75" spans="1:5" x14ac:dyDescent="0.25">
      <c r="A75" s="35"/>
      <c r="B75" s="36"/>
      <c r="C75" s="36"/>
      <c r="D75" s="36"/>
      <c r="E75" s="36"/>
    </row>
    <row r="76" spans="1:5" x14ac:dyDescent="0.25">
      <c r="A76" s="35"/>
      <c r="B76" s="36"/>
      <c r="C76" s="36"/>
      <c r="D76" s="36"/>
      <c r="E76" s="36"/>
    </row>
    <row r="77" spans="1:5" x14ac:dyDescent="0.25">
      <c r="A77" s="35"/>
      <c r="B77" s="36"/>
      <c r="C77" s="36"/>
      <c r="D77" s="36"/>
      <c r="E77" s="36"/>
    </row>
    <row r="78" spans="1:5" x14ac:dyDescent="0.25">
      <c r="A78" s="35"/>
      <c r="B78" s="36"/>
      <c r="C78" s="36"/>
      <c r="D78" s="36"/>
      <c r="E78" s="36"/>
    </row>
    <row r="79" spans="1:5" x14ac:dyDescent="0.25">
      <c r="A79" s="35"/>
      <c r="B79" s="36"/>
      <c r="C79" s="36"/>
      <c r="D79" s="36"/>
      <c r="E79" s="36"/>
    </row>
    <row r="80" spans="1:5" x14ac:dyDescent="0.25">
      <c r="A80" s="35"/>
      <c r="B80" s="36"/>
      <c r="C80" s="36"/>
      <c r="D80" s="36"/>
      <c r="E80" s="36"/>
    </row>
    <row r="81" spans="1:5" x14ac:dyDescent="0.25">
      <c r="A81" s="35"/>
      <c r="B81" s="36"/>
      <c r="C81" s="36"/>
      <c r="D81" s="36"/>
      <c r="E81" s="36"/>
    </row>
    <row r="82" spans="1:5" x14ac:dyDescent="0.25">
      <c r="A82" s="35"/>
      <c r="B82" s="36"/>
      <c r="C82" s="36"/>
      <c r="D82" s="36"/>
      <c r="E82" s="36"/>
    </row>
    <row r="83" spans="1:5" x14ac:dyDescent="0.25">
      <c r="A83" s="35"/>
      <c r="B83" s="36"/>
      <c r="C83" s="36"/>
      <c r="D83" s="36"/>
      <c r="E83" s="36"/>
    </row>
    <row r="84" spans="1:5" x14ac:dyDescent="0.25">
      <c r="A84" s="35"/>
      <c r="B84" s="36"/>
      <c r="C84" s="36"/>
      <c r="D84" s="36"/>
      <c r="E84" s="36"/>
    </row>
  </sheetData>
  <mergeCells count="8">
    <mergeCell ref="E37:E43"/>
    <mergeCell ref="E9:E12"/>
    <mergeCell ref="E3:E7"/>
    <mergeCell ref="E14:E16"/>
    <mergeCell ref="E18:E20"/>
    <mergeCell ref="E26:E28"/>
    <mergeCell ref="E30:E31"/>
    <mergeCell ref="E33:E34"/>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3803" r:id="rId3" name="Drop Down 11">
              <controlPr defaultSize="0" autoLine="0" autoPict="0">
                <anchor moveWithCells="1">
                  <from>
                    <xdr:col>3</xdr:col>
                    <xdr:colOff>0</xdr:colOff>
                    <xdr:row>25</xdr:row>
                    <xdr:rowOff>28575</xdr:rowOff>
                  </from>
                  <to>
                    <xdr:col>3</xdr:col>
                    <xdr:colOff>1800225</xdr:colOff>
                    <xdr:row>26</xdr:row>
                    <xdr:rowOff>38100</xdr:rowOff>
                  </to>
                </anchor>
              </controlPr>
            </control>
          </mc:Choice>
        </mc:AlternateContent>
        <mc:AlternateContent xmlns:mc="http://schemas.openxmlformats.org/markup-compatibility/2006">
          <mc:Choice Requires="x14">
            <control shapeId="33805" r:id="rId4" name="Drop Down 13">
              <controlPr defaultSize="0" autoLine="0" autoPict="0">
                <anchor moveWithCells="1">
                  <from>
                    <xdr:col>2</xdr:col>
                    <xdr:colOff>3629025</xdr:colOff>
                    <xdr:row>29</xdr:row>
                    <xdr:rowOff>38100</xdr:rowOff>
                  </from>
                  <to>
                    <xdr:col>3</xdr:col>
                    <xdr:colOff>1781175</xdr:colOff>
                    <xdr:row>30</xdr:row>
                    <xdr:rowOff>47625</xdr:rowOff>
                  </to>
                </anchor>
              </controlPr>
            </control>
          </mc:Choice>
        </mc:AlternateContent>
        <mc:AlternateContent xmlns:mc="http://schemas.openxmlformats.org/markup-compatibility/2006">
          <mc:Choice Requires="x14">
            <control shapeId="33806" r:id="rId5" name="Drop Down 14">
              <controlPr defaultSize="0" autoLine="0" autoPict="0">
                <anchor moveWithCells="1">
                  <from>
                    <xdr:col>3</xdr:col>
                    <xdr:colOff>0</xdr:colOff>
                    <xdr:row>36</xdr:row>
                    <xdr:rowOff>0</xdr:rowOff>
                  </from>
                  <to>
                    <xdr:col>3</xdr:col>
                    <xdr:colOff>1800225</xdr:colOff>
                    <xdr:row>37</xdr:row>
                    <xdr:rowOff>9525</xdr:rowOff>
                  </to>
                </anchor>
              </controlPr>
            </control>
          </mc:Choice>
        </mc:AlternateContent>
        <mc:AlternateContent xmlns:mc="http://schemas.openxmlformats.org/markup-compatibility/2006">
          <mc:Choice Requires="x14">
            <control shapeId="33807" r:id="rId6" name="Drop Down 15">
              <controlPr defaultSize="0" autoLine="0" autoPict="0">
                <anchor moveWithCells="1">
                  <from>
                    <xdr:col>3</xdr:col>
                    <xdr:colOff>9525</xdr:colOff>
                    <xdr:row>38</xdr:row>
                    <xdr:rowOff>0</xdr:rowOff>
                  </from>
                  <to>
                    <xdr:col>3</xdr:col>
                    <xdr:colOff>1809750</xdr:colOff>
                    <xdr:row>39</xdr:row>
                    <xdr:rowOff>9525</xdr:rowOff>
                  </to>
                </anchor>
              </controlPr>
            </control>
          </mc:Choice>
        </mc:AlternateContent>
        <mc:AlternateContent xmlns:mc="http://schemas.openxmlformats.org/markup-compatibility/2006">
          <mc:Choice Requires="x14">
            <control shapeId="33808" r:id="rId7" name="Drop Down 16">
              <controlPr defaultSize="0" autoLine="0" autoPict="0">
                <anchor moveWithCells="1">
                  <from>
                    <xdr:col>3</xdr:col>
                    <xdr:colOff>0</xdr:colOff>
                    <xdr:row>39</xdr:row>
                    <xdr:rowOff>180975</xdr:rowOff>
                  </from>
                  <to>
                    <xdr:col>3</xdr:col>
                    <xdr:colOff>1800225</xdr:colOff>
                    <xdr:row>41</xdr:row>
                    <xdr:rowOff>0</xdr:rowOff>
                  </to>
                </anchor>
              </controlPr>
            </control>
          </mc:Choice>
        </mc:AlternateContent>
        <mc:AlternateContent xmlns:mc="http://schemas.openxmlformats.org/markup-compatibility/2006">
          <mc:Choice Requires="x14">
            <control shapeId="33809" r:id="rId8" name="Drop Down 17">
              <controlPr defaultSize="0" autoLine="0" autoPict="0">
                <anchor moveWithCells="1">
                  <from>
                    <xdr:col>3</xdr:col>
                    <xdr:colOff>0</xdr:colOff>
                    <xdr:row>42</xdr:row>
                    <xdr:rowOff>0</xdr:rowOff>
                  </from>
                  <to>
                    <xdr:col>3</xdr:col>
                    <xdr:colOff>1800225</xdr:colOff>
                    <xdr:row>43</xdr:row>
                    <xdr:rowOff>9525</xdr:rowOff>
                  </to>
                </anchor>
              </controlPr>
            </control>
          </mc:Choice>
        </mc:AlternateContent>
        <mc:AlternateContent xmlns:mc="http://schemas.openxmlformats.org/markup-compatibility/2006">
          <mc:Choice Requires="x14">
            <control shapeId="33813" r:id="rId9" name="Drop Down 21">
              <controlPr defaultSize="0" autoLine="0" autoPict="0">
                <anchor moveWithCells="1">
                  <from>
                    <xdr:col>3</xdr:col>
                    <xdr:colOff>9525</xdr:colOff>
                    <xdr:row>32</xdr:row>
                    <xdr:rowOff>38100</xdr:rowOff>
                  </from>
                  <to>
                    <xdr:col>3</xdr:col>
                    <xdr:colOff>1809750</xdr:colOff>
                    <xdr:row>33</xdr:row>
                    <xdr:rowOff>47625</xdr:rowOff>
                  </to>
                </anchor>
              </controlPr>
            </control>
          </mc:Choice>
        </mc:AlternateContent>
        <mc:AlternateContent xmlns:mc="http://schemas.openxmlformats.org/markup-compatibility/2006">
          <mc:Choice Requires="x14">
            <control shapeId="33814" r:id="rId10" name="Drop Down 22">
              <controlPr defaultSize="0" autoLine="0" autoPict="0">
                <anchor moveWithCells="1">
                  <from>
                    <xdr:col>3</xdr:col>
                    <xdr:colOff>9525</xdr:colOff>
                    <xdr:row>44</xdr:row>
                    <xdr:rowOff>0</xdr:rowOff>
                  </from>
                  <to>
                    <xdr:col>3</xdr:col>
                    <xdr:colOff>1809750</xdr:colOff>
                    <xdr:row>45</xdr:row>
                    <xdr:rowOff>9525</xdr:rowOff>
                  </to>
                </anchor>
              </controlPr>
            </control>
          </mc:Choice>
        </mc:AlternateContent>
        <mc:AlternateContent xmlns:mc="http://schemas.openxmlformats.org/markup-compatibility/2006">
          <mc:Choice Requires="x14">
            <control shapeId="33798" r:id="rId11" name="Drop Down 6">
              <controlPr defaultSize="0" autoLine="0" autoPict="0">
                <anchor moveWithCells="1">
                  <from>
                    <xdr:col>3</xdr:col>
                    <xdr:colOff>0</xdr:colOff>
                    <xdr:row>2</xdr:row>
                    <xdr:rowOff>38100</xdr:rowOff>
                  </from>
                  <to>
                    <xdr:col>3</xdr:col>
                    <xdr:colOff>1800225</xdr:colOff>
                    <xdr:row>3</xdr:row>
                    <xdr:rowOff>47625</xdr:rowOff>
                  </to>
                </anchor>
              </controlPr>
            </control>
          </mc:Choice>
        </mc:AlternateContent>
        <mc:AlternateContent xmlns:mc="http://schemas.openxmlformats.org/markup-compatibility/2006">
          <mc:Choice Requires="x14">
            <control shapeId="33799" r:id="rId12" name="Drop Down 7">
              <controlPr defaultSize="0" autoLine="0" autoPict="0">
                <anchor moveWithCells="1">
                  <from>
                    <xdr:col>2</xdr:col>
                    <xdr:colOff>3638550</xdr:colOff>
                    <xdr:row>8</xdr:row>
                    <xdr:rowOff>57150</xdr:rowOff>
                  </from>
                  <to>
                    <xdr:col>3</xdr:col>
                    <xdr:colOff>1800225</xdr:colOff>
                    <xdr:row>9</xdr:row>
                    <xdr:rowOff>66675</xdr:rowOff>
                  </to>
                </anchor>
              </controlPr>
            </control>
          </mc:Choice>
        </mc:AlternateContent>
        <mc:AlternateContent xmlns:mc="http://schemas.openxmlformats.org/markup-compatibility/2006">
          <mc:Choice Requires="x14">
            <control shapeId="33800" r:id="rId13" name="Drop Down 8">
              <controlPr defaultSize="0" autoLine="0" autoPict="0">
                <anchor moveWithCells="1">
                  <from>
                    <xdr:col>3</xdr:col>
                    <xdr:colOff>0</xdr:colOff>
                    <xdr:row>13</xdr:row>
                    <xdr:rowOff>28575</xdr:rowOff>
                  </from>
                  <to>
                    <xdr:col>3</xdr:col>
                    <xdr:colOff>1800225</xdr:colOff>
                    <xdr:row>14</xdr:row>
                    <xdr:rowOff>38100</xdr:rowOff>
                  </to>
                </anchor>
              </controlPr>
            </control>
          </mc:Choice>
        </mc:AlternateContent>
        <mc:AlternateContent xmlns:mc="http://schemas.openxmlformats.org/markup-compatibility/2006">
          <mc:Choice Requires="x14">
            <control shapeId="33801" r:id="rId14" name="Drop Down 9">
              <controlPr defaultSize="0" autoLine="0" autoPict="0">
                <anchor moveWithCells="1">
                  <from>
                    <xdr:col>3</xdr:col>
                    <xdr:colOff>0</xdr:colOff>
                    <xdr:row>17</xdr:row>
                    <xdr:rowOff>38100</xdr:rowOff>
                  </from>
                  <to>
                    <xdr:col>3</xdr:col>
                    <xdr:colOff>1800225</xdr:colOff>
                    <xdr:row>18</xdr:row>
                    <xdr:rowOff>47625</xdr:rowOff>
                  </to>
                </anchor>
              </controlPr>
            </control>
          </mc:Choice>
        </mc:AlternateContent>
        <mc:AlternateContent xmlns:mc="http://schemas.openxmlformats.org/markup-compatibility/2006">
          <mc:Choice Requires="x14">
            <control shapeId="33802" r:id="rId15" name="Drop Down 10">
              <controlPr defaultSize="0" autoLine="0" autoPict="0">
                <anchor moveWithCells="1">
                  <from>
                    <xdr:col>3</xdr:col>
                    <xdr:colOff>0</xdr:colOff>
                    <xdr:row>21</xdr:row>
                    <xdr:rowOff>28575</xdr:rowOff>
                  </from>
                  <to>
                    <xdr:col>3</xdr:col>
                    <xdr:colOff>1800225</xdr:colOff>
                    <xdr:row>22</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B6C5D-C150-4FE1-AD5A-748CABBF36C9}">
  <sheetPr codeName="Sheet2">
    <tabColor theme="6" tint="0.59999389629810485"/>
  </sheetPr>
  <dimension ref="A1:P98"/>
  <sheetViews>
    <sheetView showGridLines="0" zoomScale="115" zoomScaleNormal="115" workbookViewId="0">
      <pane ySplit="1" topLeftCell="A44" activePane="bottomLeft" state="frozen"/>
      <selection activeCell="C23" sqref="C23"/>
      <selection pane="bottomLeft" activeCell="D10" sqref="D10"/>
    </sheetView>
  </sheetViews>
  <sheetFormatPr defaultRowHeight="15" x14ac:dyDescent="0.25"/>
  <cols>
    <col min="1" max="1" width="5.5703125" style="1" customWidth="1"/>
    <col min="2" max="2" width="3.85546875" customWidth="1"/>
    <col min="3" max="3" width="54.7109375" customWidth="1"/>
    <col min="4" max="4" width="36.42578125" customWidth="1"/>
    <col min="5" max="5" width="51.140625" customWidth="1"/>
    <col min="6" max="6" width="15.140625" hidden="1" customWidth="1"/>
    <col min="7" max="16" width="9.140625" style="36"/>
  </cols>
  <sheetData>
    <row r="1" spans="1:6" x14ac:dyDescent="0.25">
      <c r="A1" s="35" t="s">
        <v>235</v>
      </c>
      <c r="B1" s="36"/>
      <c r="C1" s="36"/>
      <c r="D1" s="36"/>
      <c r="E1" s="90" t="str">
        <f>"Risk Ranking - "&amp;ROUND('Collision Score'!B25,1)</f>
        <v>Risk Ranking - 22.6</v>
      </c>
      <c r="F1" s="36"/>
    </row>
    <row r="2" spans="1:6" x14ac:dyDescent="0.25">
      <c r="A2" s="35"/>
      <c r="B2" s="36"/>
      <c r="C2" s="36"/>
      <c r="D2" s="36"/>
      <c r="E2" s="37" t="s">
        <v>216</v>
      </c>
      <c r="F2" s="36"/>
    </row>
    <row r="3" spans="1:6" s="36" customFormat="1" x14ac:dyDescent="0.25">
      <c r="A3" s="35"/>
    </row>
    <row r="4" spans="1:6" s="36" customFormat="1" x14ac:dyDescent="0.25">
      <c r="A4" s="19">
        <v>1</v>
      </c>
      <c r="B4" s="20" t="s">
        <v>118</v>
      </c>
      <c r="C4" s="21"/>
      <c r="D4" s="21"/>
      <c r="E4" s="107" t="s">
        <v>222</v>
      </c>
      <c r="F4">
        <v>1</v>
      </c>
    </row>
    <row r="5" spans="1:6" s="36" customFormat="1" ht="15" customHeight="1" x14ac:dyDescent="0.25">
      <c r="A5" s="22"/>
      <c r="B5" s="23"/>
      <c r="C5" s="24" t="s">
        <v>373</v>
      </c>
      <c r="D5" s="24"/>
      <c r="E5" s="108"/>
      <c r="F5"/>
    </row>
    <row r="6" spans="1:6" s="36" customFormat="1" x14ac:dyDescent="0.25">
      <c r="A6" s="22"/>
      <c r="B6" s="23"/>
      <c r="C6" s="24" t="s">
        <v>372</v>
      </c>
      <c r="D6" s="24"/>
      <c r="E6" s="108"/>
      <c r="F6"/>
    </row>
    <row r="7" spans="1:6" s="36" customFormat="1" x14ac:dyDescent="0.25">
      <c r="A7" s="25"/>
      <c r="B7" s="6"/>
      <c r="C7" s="26" t="s">
        <v>374</v>
      </c>
      <c r="D7" s="26"/>
      <c r="E7" s="109"/>
      <c r="F7"/>
    </row>
    <row r="8" spans="1:6" s="36" customFormat="1" x14ac:dyDescent="0.25">
      <c r="A8" s="35"/>
    </row>
    <row r="9" spans="1:6" s="36" customFormat="1" ht="15" customHeight="1" x14ac:dyDescent="0.25">
      <c r="A9" s="19">
        <v>2</v>
      </c>
      <c r="B9" s="20" t="s">
        <v>86</v>
      </c>
      <c r="C9" s="21"/>
      <c r="D9" s="21"/>
      <c r="E9" s="110" t="s">
        <v>217</v>
      </c>
      <c r="F9">
        <v>1</v>
      </c>
    </row>
    <row r="10" spans="1:6" s="36" customFormat="1" x14ac:dyDescent="0.25">
      <c r="A10" s="22"/>
      <c r="B10" s="23"/>
      <c r="C10" s="23" t="s">
        <v>2</v>
      </c>
      <c r="D10" s="23"/>
      <c r="E10" s="111"/>
      <c r="F10"/>
    </row>
    <row r="11" spans="1:6" s="36" customFormat="1" x14ac:dyDescent="0.25">
      <c r="A11" s="25"/>
      <c r="B11" s="6"/>
      <c r="C11" s="6" t="s">
        <v>0</v>
      </c>
      <c r="D11" s="6"/>
      <c r="E11" s="112"/>
      <c r="F11"/>
    </row>
    <row r="12" spans="1:6" s="36" customFormat="1" x14ac:dyDescent="0.25">
      <c r="A12" s="35"/>
    </row>
    <row r="13" spans="1:6" s="36" customFormat="1" x14ac:dyDescent="0.25">
      <c r="A13" s="19">
        <v>3</v>
      </c>
      <c r="B13" s="20" t="s">
        <v>223</v>
      </c>
      <c r="C13" s="21"/>
      <c r="D13" s="21"/>
      <c r="E13" s="110" t="s">
        <v>218</v>
      </c>
      <c r="F13">
        <v>2</v>
      </c>
    </row>
    <row r="14" spans="1:6" s="36" customFormat="1" x14ac:dyDescent="0.25">
      <c r="A14" s="22"/>
      <c r="B14" s="23"/>
      <c r="C14" s="23" t="s">
        <v>2</v>
      </c>
      <c r="D14" s="23"/>
      <c r="E14" s="111"/>
      <c r="F14"/>
    </row>
    <row r="15" spans="1:6" s="36" customFormat="1" x14ac:dyDescent="0.25">
      <c r="A15" s="25"/>
      <c r="B15" s="6"/>
      <c r="C15" s="6" t="s">
        <v>0</v>
      </c>
      <c r="D15" s="6"/>
      <c r="E15" s="112"/>
      <c r="F15"/>
    </row>
    <row r="16" spans="1:6" s="36" customFormat="1" x14ac:dyDescent="0.25">
      <c r="A16" s="35"/>
    </row>
    <row r="17" spans="1:6" s="36" customFormat="1" x14ac:dyDescent="0.25">
      <c r="A17" s="19">
        <v>4</v>
      </c>
      <c r="B17" s="20" t="s">
        <v>119</v>
      </c>
      <c r="C17" s="21"/>
      <c r="D17" s="21"/>
      <c r="E17" s="27"/>
      <c r="F17">
        <v>2</v>
      </c>
    </row>
    <row r="18" spans="1:6" s="36" customFormat="1" x14ac:dyDescent="0.25">
      <c r="A18" s="22"/>
      <c r="B18" s="23"/>
      <c r="C18" s="23" t="s">
        <v>2</v>
      </c>
      <c r="D18" s="28"/>
      <c r="E18" s="29"/>
      <c r="F18"/>
    </row>
    <row r="19" spans="1:6" s="36" customFormat="1" x14ac:dyDescent="0.25">
      <c r="A19" s="25"/>
      <c r="B19" s="6"/>
      <c r="C19" s="6" t="s">
        <v>0</v>
      </c>
      <c r="D19" s="30"/>
      <c r="E19" s="31"/>
    </row>
    <row r="20" spans="1:6" s="36" customFormat="1" x14ac:dyDescent="0.25">
      <c r="A20" s="35"/>
      <c r="B20" s="38"/>
    </row>
    <row r="21" spans="1:6" s="36" customFormat="1" x14ac:dyDescent="0.25">
      <c r="A21" s="19">
        <v>5</v>
      </c>
      <c r="B21" s="20" t="s">
        <v>82</v>
      </c>
      <c r="C21" s="21"/>
      <c r="D21" s="21"/>
      <c r="E21" s="110" t="s">
        <v>219</v>
      </c>
      <c r="F21">
        <v>2</v>
      </c>
    </row>
    <row r="22" spans="1:6" s="36" customFormat="1" x14ac:dyDescent="0.25">
      <c r="A22" s="22"/>
      <c r="B22" s="23"/>
      <c r="C22" s="23" t="s">
        <v>445</v>
      </c>
      <c r="D22" s="23"/>
      <c r="E22" s="111"/>
      <c r="F22"/>
    </row>
    <row r="23" spans="1:6" s="36" customFormat="1" x14ac:dyDescent="0.25">
      <c r="A23" s="25"/>
      <c r="B23" s="6"/>
      <c r="C23" s="6" t="s">
        <v>120</v>
      </c>
      <c r="D23" s="6"/>
      <c r="E23" s="112"/>
      <c r="F23"/>
    </row>
    <row r="24" spans="1:6" s="36" customFormat="1" x14ac:dyDescent="0.25">
      <c r="A24" s="35"/>
    </row>
    <row r="25" spans="1:6" s="36" customFormat="1" x14ac:dyDescent="0.25">
      <c r="A25" s="19">
        <v>6</v>
      </c>
      <c r="B25" s="20" t="s">
        <v>122</v>
      </c>
      <c r="C25" s="21"/>
      <c r="D25" s="21"/>
      <c r="E25" s="110" t="s">
        <v>220</v>
      </c>
      <c r="F25">
        <v>12</v>
      </c>
    </row>
    <row r="26" spans="1:6" s="36" customFormat="1" x14ac:dyDescent="0.25">
      <c r="A26" s="25"/>
      <c r="B26" s="6"/>
      <c r="C26" s="6"/>
      <c r="D26" s="6"/>
      <c r="E26" s="112"/>
      <c r="F26"/>
    </row>
    <row r="27" spans="1:6" s="36" customFormat="1" ht="15" customHeight="1" x14ac:dyDescent="0.25">
      <c r="A27" s="35"/>
      <c r="F27"/>
    </row>
    <row r="28" spans="1:6" s="36" customFormat="1" ht="15" customHeight="1" x14ac:dyDescent="0.25">
      <c r="A28" s="19">
        <v>7</v>
      </c>
      <c r="B28" s="20" t="s">
        <v>376</v>
      </c>
      <c r="C28" s="21"/>
      <c r="D28" s="21"/>
      <c r="E28" s="110" t="s">
        <v>393</v>
      </c>
      <c r="F28">
        <v>2</v>
      </c>
    </row>
    <row r="29" spans="1:6" s="36" customFormat="1" ht="45.75" customHeight="1" x14ac:dyDescent="0.25">
      <c r="A29" s="25"/>
      <c r="B29" s="6"/>
      <c r="C29" s="6"/>
      <c r="D29" s="6"/>
      <c r="E29" s="113"/>
      <c r="F29"/>
    </row>
    <row r="30" spans="1:6" s="36" customFormat="1" x14ac:dyDescent="0.25">
      <c r="A30" s="39"/>
      <c r="B30" s="40"/>
      <c r="C30" s="40"/>
      <c r="D30" s="40"/>
      <c r="E30" s="41"/>
    </row>
    <row r="31" spans="1:6" s="36" customFormat="1" x14ac:dyDescent="0.25">
      <c r="A31" s="19">
        <v>8</v>
      </c>
      <c r="B31" s="20" t="s">
        <v>107</v>
      </c>
      <c r="C31" s="21"/>
      <c r="D31" s="21"/>
      <c r="E31" s="45"/>
      <c r="F31" s="47"/>
    </row>
    <row r="32" spans="1:6" s="36" customFormat="1" ht="17.25" customHeight="1" x14ac:dyDescent="0.25">
      <c r="A32" s="22"/>
      <c r="B32" s="23"/>
      <c r="C32" s="46" t="s">
        <v>92</v>
      </c>
      <c r="D32" s="23"/>
      <c r="E32" s="43"/>
      <c r="F32" s="48">
        <v>2</v>
      </c>
    </row>
    <row r="33" spans="1:6" s="36" customFormat="1" ht="17.25" customHeight="1" x14ac:dyDescent="0.25">
      <c r="A33" s="22"/>
      <c r="B33" s="23"/>
      <c r="C33" s="23" t="s">
        <v>131</v>
      </c>
      <c r="D33" s="23"/>
      <c r="E33" s="43"/>
      <c r="F33" s="48">
        <v>1</v>
      </c>
    </row>
    <row r="34" spans="1:6" s="36" customFormat="1" ht="17.25" customHeight="1" x14ac:dyDescent="0.25">
      <c r="A34" s="22"/>
      <c r="B34" s="23"/>
      <c r="C34" s="23" t="s">
        <v>130</v>
      </c>
      <c r="D34" s="23"/>
      <c r="E34" s="43"/>
      <c r="F34" s="48">
        <v>2</v>
      </c>
    </row>
    <row r="35" spans="1:6" s="36" customFormat="1" ht="17.25" customHeight="1" x14ac:dyDescent="0.25">
      <c r="A35" s="22"/>
      <c r="B35" s="23"/>
      <c r="C35" s="23" t="s">
        <v>231</v>
      </c>
      <c r="D35" s="23"/>
      <c r="E35" s="43"/>
      <c r="F35" s="48">
        <v>2</v>
      </c>
    </row>
    <row r="36" spans="1:6" s="36" customFormat="1" ht="17.25" customHeight="1" x14ac:dyDescent="0.25">
      <c r="A36" s="22"/>
      <c r="B36" s="23"/>
      <c r="C36" s="46" t="s">
        <v>93</v>
      </c>
      <c r="D36" s="23"/>
      <c r="E36" s="43"/>
      <c r="F36" s="48">
        <v>2</v>
      </c>
    </row>
    <row r="37" spans="1:6" s="36" customFormat="1" ht="17.25" customHeight="1" x14ac:dyDescent="0.25">
      <c r="A37" s="22"/>
      <c r="B37" s="23"/>
      <c r="C37" s="46" t="s">
        <v>227</v>
      </c>
      <c r="D37" s="23"/>
      <c r="E37" s="43"/>
      <c r="F37" s="48">
        <v>2</v>
      </c>
    </row>
    <row r="38" spans="1:6" s="36" customFormat="1" ht="17.25" customHeight="1" x14ac:dyDescent="0.25">
      <c r="A38" s="22"/>
      <c r="B38" s="23"/>
      <c r="C38" s="46" t="s">
        <v>95</v>
      </c>
      <c r="D38" s="23"/>
      <c r="E38" s="43"/>
      <c r="F38" s="48">
        <v>2</v>
      </c>
    </row>
    <row r="39" spans="1:6" s="36" customFormat="1" ht="17.25" customHeight="1" x14ac:dyDescent="0.25">
      <c r="A39" s="22"/>
      <c r="B39" s="23"/>
      <c r="C39" s="46" t="s">
        <v>96</v>
      </c>
      <c r="D39" s="23"/>
      <c r="E39" s="43"/>
      <c r="F39" s="48">
        <v>2</v>
      </c>
    </row>
    <row r="40" spans="1:6" s="36" customFormat="1" ht="17.25" customHeight="1" x14ac:dyDescent="0.25">
      <c r="A40" s="22"/>
      <c r="B40" s="23"/>
      <c r="C40" s="46" t="s">
        <v>97</v>
      </c>
      <c r="D40" s="23"/>
      <c r="E40" s="43"/>
      <c r="F40" s="48">
        <v>2</v>
      </c>
    </row>
    <row r="41" spans="1:6" s="36" customFormat="1" ht="17.25" customHeight="1" x14ac:dyDescent="0.25">
      <c r="A41" s="22"/>
      <c r="B41" s="23"/>
      <c r="C41" s="46" t="s">
        <v>98</v>
      </c>
      <c r="D41" s="23"/>
      <c r="E41" s="43"/>
      <c r="F41" s="48">
        <v>2</v>
      </c>
    </row>
    <row r="42" spans="1:6" s="36" customFormat="1" ht="17.25" customHeight="1" x14ac:dyDescent="0.25">
      <c r="A42" s="22"/>
      <c r="B42" s="23"/>
      <c r="C42" s="46" t="s">
        <v>99</v>
      </c>
      <c r="D42" s="23"/>
      <c r="E42" s="43"/>
      <c r="F42" s="48">
        <v>2</v>
      </c>
    </row>
    <row r="43" spans="1:6" s="36" customFormat="1" ht="17.25" customHeight="1" x14ac:dyDescent="0.25">
      <c r="A43" s="22"/>
      <c r="B43" s="23"/>
      <c r="C43" s="46" t="s">
        <v>100</v>
      </c>
      <c r="D43" s="23"/>
      <c r="E43" s="43"/>
      <c r="F43" s="48">
        <v>2</v>
      </c>
    </row>
    <row r="44" spans="1:6" s="36" customFormat="1" ht="17.25" customHeight="1" x14ac:dyDescent="0.25">
      <c r="A44" s="22"/>
      <c r="B44" s="23"/>
      <c r="C44" s="46" t="s">
        <v>101</v>
      </c>
      <c r="D44" s="23"/>
      <c r="E44" s="43"/>
      <c r="F44" s="48">
        <v>2</v>
      </c>
    </row>
    <row r="45" spans="1:6" s="36" customFormat="1" ht="17.25" customHeight="1" x14ac:dyDescent="0.25">
      <c r="A45" s="22"/>
      <c r="B45" s="23"/>
      <c r="C45" s="46" t="s">
        <v>102</v>
      </c>
      <c r="D45" s="23"/>
      <c r="E45" s="43"/>
      <c r="F45" s="48">
        <v>2</v>
      </c>
    </row>
    <row r="46" spans="1:6" s="36" customFormat="1" ht="17.25" customHeight="1" x14ac:dyDescent="0.25">
      <c r="A46" s="22"/>
      <c r="B46" s="23"/>
      <c r="C46" s="46" t="s">
        <v>228</v>
      </c>
      <c r="D46" s="23"/>
      <c r="E46" s="43"/>
      <c r="F46" s="48">
        <v>2</v>
      </c>
    </row>
    <row r="47" spans="1:6" s="36" customFormat="1" ht="17.25" customHeight="1" x14ac:dyDescent="0.25">
      <c r="A47" s="22"/>
      <c r="B47" s="23"/>
      <c r="C47" s="46" t="s">
        <v>104</v>
      </c>
      <c r="D47" s="23"/>
      <c r="E47" s="43"/>
      <c r="F47" s="48">
        <v>2</v>
      </c>
    </row>
    <row r="48" spans="1:6" s="36" customFormat="1" x14ac:dyDescent="0.25">
      <c r="A48" s="25"/>
      <c r="B48" s="6"/>
      <c r="C48" s="6"/>
      <c r="D48" s="6"/>
      <c r="E48" s="44"/>
      <c r="F48" s="47"/>
    </row>
    <row r="49" spans="1:6" s="36" customFormat="1" x14ac:dyDescent="0.25">
      <c r="A49" s="39"/>
      <c r="B49" s="40"/>
      <c r="C49" s="40"/>
      <c r="D49" s="40"/>
      <c r="E49" s="41"/>
    </row>
    <row r="50" spans="1:6" s="36" customFormat="1" x14ac:dyDescent="0.25">
      <c r="A50" s="19">
        <v>9</v>
      </c>
      <c r="B50" s="20" t="s">
        <v>204</v>
      </c>
      <c r="C50" s="21"/>
      <c r="D50" s="21"/>
      <c r="E50" s="27"/>
      <c r="F50"/>
    </row>
    <row r="51" spans="1:6" s="36" customFormat="1" x14ac:dyDescent="0.25">
      <c r="A51" s="22"/>
      <c r="B51" s="23"/>
      <c r="C51" s="23" t="s">
        <v>448</v>
      </c>
      <c r="D51" s="23"/>
      <c r="E51" s="106" t="s">
        <v>221</v>
      </c>
      <c r="F51">
        <v>1</v>
      </c>
    </row>
    <row r="52" spans="1:6" s="36" customFormat="1" x14ac:dyDescent="0.25">
      <c r="A52" s="22"/>
      <c r="B52" s="23"/>
      <c r="C52" s="23"/>
      <c r="D52" s="32"/>
      <c r="E52" s="106"/>
      <c r="F52"/>
    </row>
    <row r="53" spans="1:6" s="36" customFormat="1" x14ac:dyDescent="0.25">
      <c r="A53" s="22"/>
      <c r="B53" s="23"/>
      <c r="C53" s="32" t="s">
        <v>233</v>
      </c>
      <c r="D53" s="32"/>
      <c r="E53" s="106"/>
      <c r="F53">
        <v>1</v>
      </c>
    </row>
    <row r="54" spans="1:6" s="36" customFormat="1" x14ac:dyDescent="0.25">
      <c r="A54" s="22"/>
      <c r="B54" s="23"/>
      <c r="C54" s="23"/>
      <c r="D54" s="32"/>
      <c r="E54" s="106"/>
      <c r="F54"/>
    </row>
    <row r="55" spans="1:6" s="36" customFormat="1" x14ac:dyDescent="0.25">
      <c r="A55" s="22"/>
      <c r="B55" s="32"/>
      <c r="C55" s="32" t="s">
        <v>449</v>
      </c>
      <c r="D55" s="23"/>
      <c r="E55" s="106"/>
      <c r="F55">
        <v>2</v>
      </c>
    </row>
    <row r="56" spans="1:6" s="36" customFormat="1" x14ac:dyDescent="0.25">
      <c r="A56" s="22"/>
      <c r="B56" s="32"/>
      <c r="C56" s="23"/>
      <c r="D56" s="23"/>
      <c r="E56" s="106"/>
      <c r="F56"/>
    </row>
    <row r="57" spans="1:6" s="36" customFormat="1" x14ac:dyDescent="0.25">
      <c r="A57" s="22"/>
      <c r="B57" s="32"/>
      <c r="C57" s="32" t="s">
        <v>450</v>
      </c>
      <c r="D57" s="23"/>
      <c r="E57" s="106"/>
      <c r="F57">
        <v>2</v>
      </c>
    </row>
    <row r="58" spans="1:6" s="36" customFormat="1" x14ac:dyDescent="0.25">
      <c r="A58" s="22"/>
      <c r="B58" s="32"/>
      <c r="C58" s="32"/>
      <c r="D58" s="23"/>
      <c r="E58" s="76"/>
      <c r="F58"/>
    </row>
    <row r="59" spans="1:6" s="36" customFormat="1" x14ac:dyDescent="0.25">
      <c r="A59" s="22"/>
      <c r="B59" s="32"/>
      <c r="C59" s="32" t="s">
        <v>383</v>
      </c>
      <c r="D59" s="23"/>
      <c r="E59" s="76"/>
      <c r="F59">
        <v>2</v>
      </c>
    </row>
    <row r="60" spans="1:6" s="36" customFormat="1" x14ac:dyDescent="0.25">
      <c r="A60" s="25"/>
      <c r="B60" s="33"/>
      <c r="C60" s="6"/>
      <c r="D60" s="6"/>
      <c r="E60" s="34"/>
      <c r="F60"/>
    </row>
    <row r="61" spans="1:6" s="36" customFormat="1" x14ac:dyDescent="0.25">
      <c r="A61" s="35"/>
    </row>
    <row r="62" spans="1:6" s="36" customFormat="1" x14ac:dyDescent="0.25">
      <c r="A62" s="35"/>
    </row>
    <row r="63" spans="1:6" s="36" customFormat="1" x14ac:dyDescent="0.25">
      <c r="A63" s="35"/>
    </row>
    <row r="64" spans="1:6" s="36" customFormat="1" x14ac:dyDescent="0.25">
      <c r="A64" s="35"/>
    </row>
    <row r="65" spans="1:5" s="36" customFormat="1" x14ac:dyDescent="0.25">
      <c r="A65" s="35"/>
    </row>
    <row r="66" spans="1:5" s="36" customFormat="1" x14ac:dyDescent="0.25">
      <c r="A66" s="35"/>
    </row>
    <row r="67" spans="1:5" s="36" customFormat="1" x14ac:dyDescent="0.25">
      <c r="A67" s="35"/>
    </row>
    <row r="68" spans="1:5" x14ac:dyDescent="0.25">
      <c r="A68" s="35"/>
      <c r="B68" s="36"/>
      <c r="C68" s="36"/>
      <c r="D68" s="36"/>
      <c r="E68" s="36"/>
    </row>
    <row r="69" spans="1:5" x14ac:dyDescent="0.25">
      <c r="A69" s="35"/>
      <c r="B69" s="36"/>
      <c r="C69" s="36"/>
      <c r="D69" s="36"/>
      <c r="E69" s="36"/>
    </row>
    <row r="70" spans="1:5" x14ac:dyDescent="0.25">
      <c r="A70" s="35"/>
      <c r="B70" s="36"/>
      <c r="C70" s="36"/>
      <c r="D70" s="36"/>
      <c r="E70" s="36"/>
    </row>
    <row r="71" spans="1:5" x14ac:dyDescent="0.25">
      <c r="A71" s="35"/>
      <c r="B71" s="36"/>
      <c r="C71" s="36"/>
      <c r="D71" s="36"/>
      <c r="E71" s="36"/>
    </row>
    <row r="72" spans="1:5" x14ac:dyDescent="0.25">
      <c r="A72" s="35"/>
      <c r="B72" s="36"/>
      <c r="C72" s="36"/>
      <c r="D72" s="36"/>
      <c r="E72" s="36"/>
    </row>
    <row r="73" spans="1:5" x14ac:dyDescent="0.25">
      <c r="A73" s="35"/>
      <c r="B73" s="36"/>
      <c r="C73" s="36"/>
      <c r="D73" s="36"/>
      <c r="E73" s="36"/>
    </row>
    <row r="74" spans="1:5" x14ac:dyDescent="0.25">
      <c r="A74" s="35"/>
      <c r="B74" s="36"/>
      <c r="C74" s="36"/>
      <c r="D74" s="36"/>
      <c r="E74" s="36"/>
    </row>
    <row r="75" spans="1:5" x14ac:dyDescent="0.25">
      <c r="A75" s="35"/>
      <c r="B75" s="36"/>
      <c r="C75" s="36"/>
      <c r="D75" s="36"/>
      <c r="E75" s="36"/>
    </row>
    <row r="76" spans="1:5" x14ac:dyDescent="0.25">
      <c r="A76" s="35"/>
      <c r="B76" s="36"/>
      <c r="C76" s="36"/>
      <c r="D76" s="36"/>
      <c r="E76" s="36"/>
    </row>
    <row r="77" spans="1:5" x14ac:dyDescent="0.25">
      <c r="A77" s="35"/>
      <c r="B77" s="36"/>
      <c r="C77" s="36"/>
      <c r="D77" s="36"/>
      <c r="E77" s="36"/>
    </row>
    <row r="78" spans="1:5" x14ac:dyDescent="0.25">
      <c r="A78" s="35"/>
      <c r="B78" s="36"/>
      <c r="C78" s="36"/>
      <c r="D78" s="36"/>
      <c r="E78" s="36"/>
    </row>
    <row r="79" spans="1:5" x14ac:dyDescent="0.25">
      <c r="A79" s="35"/>
      <c r="B79" s="36"/>
      <c r="C79" s="36"/>
      <c r="D79" s="36"/>
      <c r="E79" s="36"/>
    </row>
    <row r="80" spans="1:5" x14ac:dyDescent="0.25">
      <c r="A80" s="35"/>
      <c r="B80" s="36"/>
      <c r="C80" s="36"/>
      <c r="D80" s="36"/>
      <c r="E80" s="36"/>
    </row>
    <row r="81" spans="1:5" x14ac:dyDescent="0.25">
      <c r="A81" s="35"/>
      <c r="B81" s="36"/>
      <c r="C81" s="36"/>
      <c r="D81" s="36"/>
      <c r="E81" s="36"/>
    </row>
    <row r="82" spans="1:5" x14ac:dyDescent="0.25">
      <c r="A82" s="35"/>
      <c r="B82" s="36"/>
      <c r="C82" s="36"/>
      <c r="D82" s="36"/>
      <c r="E82" s="36"/>
    </row>
    <row r="83" spans="1:5" x14ac:dyDescent="0.25">
      <c r="A83" s="35"/>
      <c r="B83" s="36"/>
      <c r="C83" s="36"/>
      <c r="D83" s="36"/>
      <c r="E83" s="36"/>
    </row>
    <row r="84" spans="1:5" x14ac:dyDescent="0.25">
      <c r="A84" s="35"/>
      <c r="B84" s="36"/>
      <c r="C84" s="36"/>
      <c r="D84" s="36"/>
      <c r="E84" s="36"/>
    </row>
    <row r="85" spans="1:5" x14ac:dyDescent="0.25">
      <c r="A85" s="35"/>
      <c r="B85" s="36"/>
      <c r="C85" s="36"/>
      <c r="D85" s="36"/>
      <c r="E85" s="36"/>
    </row>
    <row r="86" spans="1:5" x14ac:dyDescent="0.25">
      <c r="A86" s="35"/>
      <c r="B86" s="36"/>
      <c r="C86" s="36"/>
      <c r="D86" s="36"/>
      <c r="E86" s="36"/>
    </row>
    <row r="87" spans="1:5" x14ac:dyDescent="0.25">
      <c r="A87" s="35"/>
      <c r="B87" s="36"/>
      <c r="C87" s="36"/>
      <c r="D87" s="36"/>
      <c r="E87" s="36"/>
    </row>
    <row r="88" spans="1:5" x14ac:dyDescent="0.25">
      <c r="A88" s="35"/>
      <c r="B88" s="36"/>
      <c r="C88" s="36"/>
      <c r="D88" s="36"/>
      <c r="E88" s="36"/>
    </row>
    <row r="89" spans="1:5" x14ac:dyDescent="0.25">
      <c r="A89" s="35"/>
      <c r="B89" s="36"/>
      <c r="C89" s="36"/>
      <c r="D89" s="36"/>
      <c r="E89" s="36"/>
    </row>
    <row r="90" spans="1:5" x14ac:dyDescent="0.25">
      <c r="A90" s="35"/>
      <c r="B90" s="36"/>
      <c r="C90" s="36"/>
      <c r="D90" s="36"/>
      <c r="E90" s="36"/>
    </row>
    <row r="91" spans="1:5" x14ac:dyDescent="0.25">
      <c r="A91" s="35"/>
      <c r="B91" s="36"/>
      <c r="C91" s="36"/>
      <c r="D91" s="36"/>
      <c r="E91" s="36"/>
    </row>
    <row r="92" spans="1:5" x14ac:dyDescent="0.25">
      <c r="A92" s="35"/>
      <c r="B92" s="36"/>
      <c r="C92" s="36"/>
      <c r="D92" s="36"/>
      <c r="E92" s="36"/>
    </row>
    <row r="93" spans="1:5" x14ac:dyDescent="0.25">
      <c r="A93" s="35"/>
      <c r="B93" s="36"/>
      <c r="C93" s="36"/>
      <c r="D93" s="36"/>
      <c r="E93" s="36"/>
    </row>
    <row r="94" spans="1:5" x14ac:dyDescent="0.25">
      <c r="A94" s="35"/>
      <c r="B94" s="36"/>
      <c r="C94" s="36"/>
      <c r="D94" s="36"/>
      <c r="E94" s="36"/>
    </row>
    <row r="95" spans="1:5" x14ac:dyDescent="0.25">
      <c r="A95" s="35"/>
      <c r="B95" s="36"/>
      <c r="C95" s="36"/>
      <c r="D95" s="36"/>
      <c r="E95" s="36"/>
    </row>
    <row r="96" spans="1:5" x14ac:dyDescent="0.25">
      <c r="A96" s="35"/>
      <c r="B96" s="36"/>
      <c r="C96" s="36"/>
      <c r="D96" s="36"/>
      <c r="E96" s="36"/>
    </row>
    <row r="97" spans="1:5" x14ac:dyDescent="0.25">
      <c r="A97" s="35"/>
      <c r="B97" s="36"/>
      <c r="C97" s="36"/>
      <c r="D97" s="36"/>
      <c r="E97" s="36"/>
    </row>
    <row r="98" spans="1:5" x14ac:dyDescent="0.25">
      <c r="A98" s="35"/>
      <c r="B98" s="36"/>
      <c r="C98" s="36"/>
      <c r="D98" s="36"/>
      <c r="E98" s="36"/>
    </row>
  </sheetData>
  <mergeCells count="7">
    <mergeCell ref="E51:E57"/>
    <mergeCell ref="E4:E7"/>
    <mergeCell ref="E9:E11"/>
    <mergeCell ref="E13:E15"/>
    <mergeCell ref="E21:E23"/>
    <mergeCell ref="E25:E26"/>
    <mergeCell ref="E28:E29"/>
  </mergeCells>
  <pageMargins left="0.7" right="0.7" top="0.75" bottom="0.75" header="0.3" footer="0.3"/>
  <pageSetup paperSize="9"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66561" r:id="rId4" name="Drop Down 1">
              <controlPr defaultSize="0" autoLine="0" autoPict="0">
                <anchor moveWithCells="1">
                  <from>
                    <xdr:col>2</xdr:col>
                    <xdr:colOff>3638550</xdr:colOff>
                    <xdr:row>3</xdr:row>
                    <xdr:rowOff>57150</xdr:rowOff>
                  </from>
                  <to>
                    <xdr:col>3</xdr:col>
                    <xdr:colOff>1800225</xdr:colOff>
                    <xdr:row>4</xdr:row>
                    <xdr:rowOff>66675</xdr:rowOff>
                  </to>
                </anchor>
              </controlPr>
            </control>
          </mc:Choice>
        </mc:AlternateContent>
        <mc:AlternateContent xmlns:mc="http://schemas.openxmlformats.org/markup-compatibility/2006">
          <mc:Choice Requires="x14">
            <control shapeId="66562" r:id="rId5" name="Drop Down 2">
              <controlPr defaultSize="0" autoLine="0" autoPict="0">
                <anchor moveWithCells="1">
                  <from>
                    <xdr:col>3</xdr:col>
                    <xdr:colOff>0</xdr:colOff>
                    <xdr:row>8</xdr:row>
                    <xdr:rowOff>28575</xdr:rowOff>
                  </from>
                  <to>
                    <xdr:col>3</xdr:col>
                    <xdr:colOff>1800225</xdr:colOff>
                    <xdr:row>9</xdr:row>
                    <xdr:rowOff>38100</xdr:rowOff>
                  </to>
                </anchor>
              </controlPr>
            </control>
          </mc:Choice>
        </mc:AlternateContent>
        <mc:AlternateContent xmlns:mc="http://schemas.openxmlformats.org/markup-compatibility/2006">
          <mc:Choice Requires="x14">
            <control shapeId="66563" r:id="rId6" name="Drop Down 3">
              <controlPr defaultSize="0" autoLine="0" autoPict="0">
                <anchor moveWithCells="1">
                  <from>
                    <xdr:col>3</xdr:col>
                    <xdr:colOff>0</xdr:colOff>
                    <xdr:row>12</xdr:row>
                    <xdr:rowOff>38100</xdr:rowOff>
                  </from>
                  <to>
                    <xdr:col>3</xdr:col>
                    <xdr:colOff>1800225</xdr:colOff>
                    <xdr:row>13</xdr:row>
                    <xdr:rowOff>47625</xdr:rowOff>
                  </to>
                </anchor>
              </controlPr>
            </control>
          </mc:Choice>
        </mc:AlternateContent>
        <mc:AlternateContent xmlns:mc="http://schemas.openxmlformats.org/markup-compatibility/2006">
          <mc:Choice Requires="x14">
            <control shapeId="66564" r:id="rId7" name="Drop Down 4">
              <controlPr defaultSize="0" autoLine="0" autoPict="0">
                <anchor moveWithCells="1">
                  <from>
                    <xdr:col>3</xdr:col>
                    <xdr:colOff>0</xdr:colOff>
                    <xdr:row>16</xdr:row>
                    <xdr:rowOff>28575</xdr:rowOff>
                  </from>
                  <to>
                    <xdr:col>3</xdr:col>
                    <xdr:colOff>1800225</xdr:colOff>
                    <xdr:row>17</xdr:row>
                    <xdr:rowOff>38100</xdr:rowOff>
                  </to>
                </anchor>
              </controlPr>
            </control>
          </mc:Choice>
        </mc:AlternateContent>
        <mc:AlternateContent xmlns:mc="http://schemas.openxmlformats.org/markup-compatibility/2006">
          <mc:Choice Requires="x14">
            <control shapeId="66565" r:id="rId8" name="Drop Down 5">
              <controlPr defaultSize="0" autoLine="0" autoPict="0">
                <anchor moveWithCells="1">
                  <from>
                    <xdr:col>3</xdr:col>
                    <xdr:colOff>0</xdr:colOff>
                    <xdr:row>20</xdr:row>
                    <xdr:rowOff>28575</xdr:rowOff>
                  </from>
                  <to>
                    <xdr:col>3</xdr:col>
                    <xdr:colOff>1800225</xdr:colOff>
                    <xdr:row>21</xdr:row>
                    <xdr:rowOff>38100</xdr:rowOff>
                  </to>
                </anchor>
              </controlPr>
            </control>
          </mc:Choice>
        </mc:AlternateContent>
        <mc:AlternateContent xmlns:mc="http://schemas.openxmlformats.org/markup-compatibility/2006">
          <mc:Choice Requires="x14">
            <control shapeId="66566" r:id="rId9" name="Drop Down 6">
              <controlPr defaultSize="0" autoLine="0" autoPict="0">
                <anchor moveWithCells="1">
                  <from>
                    <xdr:col>2</xdr:col>
                    <xdr:colOff>3629025</xdr:colOff>
                    <xdr:row>24</xdr:row>
                    <xdr:rowOff>38100</xdr:rowOff>
                  </from>
                  <to>
                    <xdr:col>3</xdr:col>
                    <xdr:colOff>1781175</xdr:colOff>
                    <xdr:row>25</xdr:row>
                    <xdr:rowOff>47625</xdr:rowOff>
                  </to>
                </anchor>
              </controlPr>
            </control>
          </mc:Choice>
        </mc:AlternateContent>
        <mc:AlternateContent xmlns:mc="http://schemas.openxmlformats.org/markup-compatibility/2006">
          <mc:Choice Requires="x14">
            <control shapeId="66567" r:id="rId10" name="Drop Down 7">
              <controlPr defaultSize="0" autoLine="0" autoPict="0">
                <anchor moveWithCells="1">
                  <from>
                    <xdr:col>3</xdr:col>
                    <xdr:colOff>0</xdr:colOff>
                    <xdr:row>50</xdr:row>
                    <xdr:rowOff>0</xdr:rowOff>
                  </from>
                  <to>
                    <xdr:col>3</xdr:col>
                    <xdr:colOff>1800225</xdr:colOff>
                    <xdr:row>51</xdr:row>
                    <xdr:rowOff>9525</xdr:rowOff>
                  </to>
                </anchor>
              </controlPr>
            </control>
          </mc:Choice>
        </mc:AlternateContent>
        <mc:AlternateContent xmlns:mc="http://schemas.openxmlformats.org/markup-compatibility/2006">
          <mc:Choice Requires="x14">
            <control shapeId="66568" r:id="rId11" name="Drop Down 8">
              <controlPr defaultSize="0" autoLine="0" autoPict="0">
                <anchor moveWithCells="1">
                  <from>
                    <xdr:col>3</xdr:col>
                    <xdr:colOff>9525</xdr:colOff>
                    <xdr:row>52</xdr:row>
                    <xdr:rowOff>0</xdr:rowOff>
                  </from>
                  <to>
                    <xdr:col>3</xdr:col>
                    <xdr:colOff>1809750</xdr:colOff>
                    <xdr:row>53</xdr:row>
                    <xdr:rowOff>9525</xdr:rowOff>
                  </to>
                </anchor>
              </controlPr>
            </control>
          </mc:Choice>
        </mc:AlternateContent>
        <mc:AlternateContent xmlns:mc="http://schemas.openxmlformats.org/markup-compatibility/2006">
          <mc:Choice Requires="x14">
            <control shapeId="66569" r:id="rId12" name="Drop Down 9">
              <controlPr defaultSize="0" autoLine="0" autoPict="0">
                <anchor moveWithCells="1">
                  <from>
                    <xdr:col>3</xdr:col>
                    <xdr:colOff>0</xdr:colOff>
                    <xdr:row>53</xdr:row>
                    <xdr:rowOff>180975</xdr:rowOff>
                  </from>
                  <to>
                    <xdr:col>3</xdr:col>
                    <xdr:colOff>1800225</xdr:colOff>
                    <xdr:row>55</xdr:row>
                    <xdr:rowOff>0</xdr:rowOff>
                  </to>
                </anchor>
              </controlPr>
            </control>
          </mc:Choice>
        </mc:AlternateContent>
        <mc:AlternateContent xmlns:mc="http://schemas.openxmlformats.org/markup-compatibility/2006">
          <mc:Choice Requires="x14">
            <control shapeId="66570" r:id="rId13" name="Drop Down 10">
              <controlPr defaultSize="0" autoLine="0" autoPict="0">
                <anchor moveWithCells="1">
                  <from>
                    <xdr:col>3</xdr:col>
                    <xdr:colOff>0</xdr:colOff>
                    <xdr:row>56</xdr:row>
                    <xdr:rowOff>0</xdr:rowOff>
                  </from>
                  <to>
                    <xdr:col>3</xdr:col>
                    <xdr:colOff>1800225</xdr:colOff>
                    <xdr:row>57</xdr:row>
                    <xdr:rowOff>9525</xdr:rowOff>
                  </to>
                </anchor>
              </controlPr>
            </control>
          </mc:Choice>
        </mc:AlternateContent>
        <mc:AlternateContent xmlns:mc="http://schemas.openxmlformats.org/markup-compatibility/2006">
          <mc:Choice Requires="x14">
            <control shapeId="66571" r:id="rId14" name="Drop Down 11">
              <controlPr defaultSize="0" autoLine="0" autoPict="0">
                <anchor moveWithCells="1">
                  <from>
                    <xdr:col>3</xdr:col>
                    <xdr:colOff>0</xdr:colOff>
                    <xdr:row>31</xdr:row>
                    <xdr:rowOff>0</xdr:rowOff>
                  </from>
                  <to>
                    <xdr:col>3</xdr:col>
                    <xdr:colOff>1800225</xdr:colOff>
                    <xdr:row>31</xdr:row>
                    <xdr:rowOff>200025</xdr:rowOff>
                  </to>
                </anchor>
              </controlPr>
            </control>
          </mc:Choice>
        </mc:AlternateContent>
        <mc:AlternateContent xmlns:mc="http://schemas.openxmlformats.org/markup-compatibility/2006">
          <mc:Choice Requires="x14">
            <control shapeId="66572" r:id="rId15" name="Drop Down 12">
              <controlPr defaultSize="0" autoLine="0" autoPict="0">
                <anchor moveWithCells="1">
                  <from>
                    <xdr:col>3</xdr:col>
                    <xdr:colOff>0</xdr:colOff>
                    <xdr:row>32</xdr:row>
                    <xdr:rowOff>0</xdr:rowOff>
                  </from>
                  <to>
                    <xdr:col>3</xdr:col>
                    <xdr:colOff>1800225</xdr:colOff>
                    <xdr:row>32</xdr:row>
                    <xdr:rowOff>200025</xdr:rowOff>
                  </to>
                </anchor>
              </controlPr>
            </control>
          </mc:Choice>
        </mc:AlternateContent>
        <mc:AlternateContent xmlns:mc="http://schemas.openxmlformats.org/markup-compatibility/2006">
          <mc:Choice Requires="x14">
            <control shapeId="66573" r:id="rId16" name="Drop Down 13">
              <controlPr defaultSize="0" autoLine="0" autoPict="0">
                <anchor moveWithCells="1">
                  <from>
                    <xdr:col>3</xdr:col>
                    <xdr:colOff>0</xdr:colOff>
                    <xdr:row>33</xdr:row>
                    <xdr:rowOff>0</xdr:rowOff>
                  </from>
                  <to>
                    <xdr:col>3</xdr:col>
                    <xdr:colOff>1800225</xdr:colOff>
                    <xdr:row>33</xdr:row>
                    <xdr:rowOff>200025</xdr:rowOff>
                  </to>
                </anchor>
              </controlPr>
            </control>
          </mc:Choice>
        </mc:AlternateContent>
        <mc:AlternateContent xmlns:mc="http://schemas.openxmlformats.org/markup-compatibility/2006">
          <mc:Choice Requires="x14">
            <control shapeId="66574" r:id="rId17" name="Drop Down 14">
              <controlPr defaultSize="0" autoLine="0" autoPict="0">
                <anchor moveWithCells="1">
                  <from>
                    <xdr:col>3</xdr:col>
                    <xdr:colOff>0</xdr:colOff>
                    <xdr:row>33</xdr:row>
                    <xdr:rowOff>219075</xdr:rowOff>
                  </from>
                  <to>
                    <xdr:col>3</xdr:col>
                    <xdr:colOff>1800225</xdr:colOff>
                    <xdr:row>34</xdr:row>
                    <xdr:rowOff>200025</xdr:rowOff>
                  </to>
                </anchor>
              </controlPr>
            </control>
          </mc:Choice>
        </mc:AlternateContent>
        <mc:AlternateContent xmlns:mc="http://schemas.openxmlformats.org/markup-compatibility/2006">
          <mc:Choice Requires="x14">
            <control shapeId="66575" r:id="rId18" name="Drop Down 15">
              <controlPr defaultSize="0" autoLine="0" autoPict="0">
                <anchor moveWithCells="1">
                  <from>
                    <xdr:col>3</xdr:col>
                    <xdr:colOff>0</xdr:colOff>
                    <xdr:row>34</xdr:row>
                    <xdr:rowOff>219075</xdr:rowOff>
                  </from>
                  <to>
                    <xdr:col>3</xdr:col>
                    <xdr:colOff>1800225</xdr:colOff>
                    <xdr:row>35</xdr:row>
                    <xdr:rowOff>200025</xdr:rowOff>
                  </to>
                </anchor>
              </controlPr>
            </control>
          </mc:Choice>
        </mc:AlternateContent>
        <mc:AlternateContent xmlns:mc="http://schemas.openxmlformats.org/markup-compatibility/2006">
          <mc:Choice Requires="x14">
            <control shapeId="66576" r:id="rId19" name="Drop Down 16">
              <controlPr defaultSize="0" autoLine="0" autoPict="0">
                <anchor moveWithCells="1">
                  <from>
                    <xdr:col>3</xdr:col>
                    <xdr:colOff>0</xdr:colOff>
                    <xdr:row>35</xdr:row>
                    <xdr:rowOff>219075</xdr:rowOff>
                  </from>
                  <to>
                    <xdr:col>3</xdr:col>
                    <xdr:colOff>1800225</xdr:colOff>
                    <xdr:row>36</xdr:row>
                    <xdr:rowOff>200025</xdr:rowOff>
                  </to>
                </anchor>
              </controlPr>
            </control>
          </mc:Choice>
        </mc:AlternateContent>
        <mc:AlternateContent xmlns:mc="http://schemas.openxmlformats.org/markup-compatibility/2006">
          <mc:Choice Requires="x14">
            <control shapeId="66577" r:id="rId20" name="Drop Down 17">
              <controlPr defaultSize="0" autoLine="0" autoPict="0">
                <anchor moveWithCells="1">
                  <from>
                    <xdr:col>3</xdr:col>
                    <xdr:colOff>0</xdr:colOff>
                    <xdr:row>36</xdr:row>
                    <xdr:rowOff>219075</xdr:rowOff>
                  </from>
                  <to>
                    <xdr:col>3</xdr:col>
                    <xdr:colOff>1800225</xdr:colOff>
                    <xdr:row>37</xdr:row>
                    <xdr:rowOff>200025</xdr:rowOff>
                  </to>
                </anchor>
              </controlPr>
            </control>
          </mc:Choice>
        </mc:AlternateContent>
        <mc:AlternateContent xmlns:mc="http://schemas.openxmlformats.org/markup-compatibility/2006">
          <mc:Choice Requires="x14">
            <control shapeId="66578" r:id="rId21" name="Drop Down 18">
              <controlPr defaultSize="0" autoLine="0" autoPict="0">
                <anchor moveWithCells="1">
                  <from>
                    <xdr:col>3</xdr:col>
                    <xdr:colOff>0</xdr:colOff>
                    <xdr:row>38</xdr:row>
                    <xdr:rowOff>0</xdr:rowOff>
                  </from>
                  <to>
                    <xdr:col>3</xdr:col>
                    <xdr:colOff>1800225</xdr:colOff>
                    <xdr:row>38</xdr:row>
                    <xdr:rowOff>200025</xdr:rowOff>
                  </to>
                </anchor>
              </controlPr>
            </control>
          </mc:Choice>
        </mc:AlternateContent>
        <mc:AlternateContent xmlns:mc="http://schemas.openxmlformats.org/markup-compatibility/2006">
          <mc:Choice Requires="x14">
            <control shapeId="66579" r:id="rId22" name="Drop Down 19">
              <controlPr defaultSize="0" autoLine="0" autoPict="0">
                <anchor moveWithCells="1">
                  <from>
                    <xdr:col>3</xdr:col>
                    <xdr:colOff>0</xdr:colOff>
                    <xdr:row>39</xdr:row>
                    <xdr:rowOff>9525</xdr:rowOff>
                  </from>
                  <to>
                    <xdr:col>3</xdr:col>
                    <xdr:colOff>1800225</xdr:colOff>
                    <xdr:row>39</xdr:row>
                    <xdr:rowOff>209550</xdr:rowOff>
                  </to>
                </anchor>
              </controlPr>
            </control>
          </mc:Choice>
        </mc:AlternateContent>
        <mc:AlternateContent xmlns:mc="http://schemas.openxmlformats.org/markup-compatibility/2006">
          <mc:Choice Requires="x14">
            <control shapeId="66580" r:id="rId23" name="Drop Down 20">
              <controlPr defaultSize="0" autoLine="0" autoPict="0">
                <anchor moveWithCells="1">
                  <from>
                    <xdr:col>3</xdr:col>
                    <xdr:colOff>0</xdr:colOff>
                    <xdr:row>40</xdr:row>
                    <xdr:rowOff>0</xdr:rowOff>
                  </from>
                  <to>
                    <xdr:col>3</xdr:col>
                    <xdr:colOff>1800225</xdr:colOff>
                    <xdr:row>40</xdr:row>
                    <xdr:rowOff>200025</xdr:rowOff>
                  </to>
                </anchor>
              </controlPr>
            </control>
          </mc:Choice>
        </mc:AlternateContent>
        <mc:AlternateContent xmlns:mc="http://schemas.openxmlformats.org/markup-compatibility/2006">
          <mc:Choice Requires="x14">
            <control shapeId="66581" r:id="rId24" name="Drop Down 21">
              <controlPr defaultSize="0" autoLine="0" autoPict="0">
                <anchor moveWithCells="1">
                  <from>
                    <xdr:col>3</xdr:col>
                    <xdr:colOff>0</xdr:colOff>
                    <xdr:row>41</xdr:row>
                    <xdr:rowOff>0</xdr:rowOff>
                  </from>
                  <to>
                    <xdr:col>3</xdr:col>
                    <xdr:colOff>1800225</xdr:colOff>
                    <xdr:row>41</xdr:row>
                    <xdr:rowOff>200025</xdr:rowOff>
                  </to>
                </anchor>
              </controlPr>
            </control>
          </mc:Choice>
        </mc:AlternateContent>
        <mc:AlternateContent xmlns:mc="http://schemas.openxmlformats.org/markup-compatibility/2006">
          <mc:Choice Requires="x14">
            <control shapeId="66582" r:id="rId25" name="Drop Down 22">
              <controlPr defaultSize="0" autoLine="0" autoPict="0">
                <anchor moveWithCells="1">
                  <from>
                    <xdr:col>3</xdr:col>
                    <xdr:colOff>0</xdr:colOff>
                    <xdr:row>43</xdr:row>
                    <xdr:rowOff>0</xdr:rowOff>
                  </from>
                  <to>
                    <xdr:col>3</xdr:col>
                    <xdr:colOff>1800225</xdr:colOff>
                    <xdr:row>43</xdr:row>
                    <xdr:rowOff>200025</xdr:rowOff>
                  </to>
                </anchor>
              </controlPr>
            </control>
          </mc:Choice>
        </mc:AlternateContent>
        <mc:AlternateContent xmlns:mc="http://schemas.openxmlformats.org/markup-compatibility/2006">
          <mc:Choice Requires="x14">
            <control shapeId="66583" r:id="rId26" name="Drop Down 23">
              <controlPr defaultSize="0" autoLine="0" autoPict="0">
                <anchor moveWithCells="1">
                  <from>
                    <xdr:col>3</xdr:col>
                    <xdr:colOff>0</xdr:colOff>
                    <xdr:row>41</xdr:row>
                    <xdr:rowOff>219075</xdr:rowOff>
                  </from>
                  <to>
                    <xdr:col>3</xdr:col>
                    <xdr:colOff>1800225</xdr:colOff>
                    <xdr:row>42</xdr:row>
                    <xdr:rowOff>200025</xdr:rowOff>
                  </to>
                </anchor>
              </controlPr>
            </control>
          </mc:Choice>
        </mc:AlternateContent>
        <mc:AlternateContent xmlns:mc="http://schemas.openxmlformats.org/markup-compatibility/2006">
          <mc:Choice Requires="x14">
            <control shapeId="66584" r:id="rId27" name="Drop Down 24">
              <controlPr defaultSize="0" autoLine="0" autoPict="0">
                <anchor moveWithCells="1">
                  <from>
                    <xdr:col>3</xdr:col>
                    <xdr:colOff>0</xdr:colOff>
                    <xdr:row>44</xdr:row>
                    <xdr:rowOff>0</xdr:rowOff>
                  </from>
                  <to>
                    <xdr:col>3</xdr:col>
                    <xdr:colOff>1800225</xdr:colOff>
                    <xdr:row>44</xdr:row>
                    <xdr:rowOff>209550</xdr:rowOff>
                  </to>
                </anchor>
              </controlPr>
            </control>
          </mc:Choice>
        </mc:AlternateContent>
        <mc:AlternateContent xmlns:mc="http://schemas.openxmlformats.org/markup-compatibility/2006">
          <mc:Choice Requires="x14">
            <control shapeId="66585" r:id="rId28" name="Drop Down 25">
              <controlPr defaultSize="0" autoLine="0" autoPict="0">
                <anchor moveWithCells="1">
                  <from>
                    <xdr:col>3</xdr:col>
                    <xdr:colOff>0</xdr:colOff>
                    <xdr:row>45</xdr:row>
                    <xdr:rowOff>0</xdr:rowOff>
                  </from>
                  <to>
                    <xdr:col>3</xdr:col>
                    <xdr:colOff>1800225</xdr:colOff>
                    <xdr:row>45</xdr:row>
                    <xdr:rowOff>209550</xdr:rowOff>
                  </to>
                </anchor>
              </controlPr>
            </control>
          </mc:Choice>
        </mc:AlternateContent>
        <mc:AlternateContent xmlns:mc="http://schemas.openxmlformats.org/markup-compatibility/2006">
          <mc:Choice Requires="x14">
            <control shapeId="66586" r:id="rId29" name="Drop Down 26">
              <controlPr defaultSize="0" autoLine="0" autoPict="0">
                <anchor moveWithCells="1">
                  <from>
                    <xdr:col>3</xdr:col>
                    <xdr:colOff>0</xdr:colOff>
                    <xdr:row>46</xdr:row>
                    <xdr:rowOff>0</xdr:rowOff>
                  </from>
                  <to>
                    <xdr:col>3</xdr:col>
                    <xdr:colOff>1800225</xdr:colOff>
                    <xdr:row>46</xdr:row>
                    <xdr:rowOff>200025</xdr:rowOff>
                  </to>
                </anchor>
              </controlPr>
            </control>
          </mc:Choice>
        </mc:AlternateContent>
        <mc:AlternateContent xmlns:mc="http://schemas.openxmlformats.org/markup-compatibility/2006">
          <mc:Choice Requires="x14">
            <control shapeId="66588" r:id="rId30" name="Drop Down 28">
              <controlPr defaultSize="0" autoLine="0" autoPict="0">
                <anchor moveWithCells="1">
                  <from>
                    <xdr:col>3</xdr:col>
                    <xdr:colOff>9525</xdr:colOff>
                    <xdr:row>27</xdr:row>
                    <xdr:rowOff>38100</xdr:rowOff>
                  </from>
                  <to>
                    <xdr:col>3</xdr:col>
                    <xdr:colOff>1809750</xdr:colOff>
                    <xdr:row>28</xdr:row>
                    <xdr:rowOff>47625</xdr:rowOff>
                  </to>
                </anchor>
              </controlPr>
            </control>
          </mc:Choice>
        </mc:AlternateContent>
        <mc:AlternateContent xmlns:mc="http://schemas.openxmlformats.org/markup-compatibility/2006">
          <mc:Choice Requires="x14">
            <control shapeId="66589" r:id="rId31" name="Drop Down 29">
              <controlPr defaultSize="0" autoLine="0" autoPict="0">
                <anchor moveWithCells="1">
                  <from>
                    <xdr:col>3</xdr:col>
                    <xdr:colOff>9525</xdr:colOff>
                    <xdr:row>58</xdr:row>
                    <xdr:rowOff>0</xdr:rowOff>
                  </from>
                  <to>
                    <xdr:col>3</xdr:col>
                    <xdr:colOff>1809750</xdr:colOff>
                    <xdr:row>59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F265C-297B-452F-B91D-0E35B2727668}">
  <sheetPr>
    <tabColor theme="6" tint="0.59999389629810485"/>
  </sheetPr>
  <dimension ref="A1:P84"/>
  <sheetViews>
    <sheetView showGridLines="0" zoomScale="115" zoomScaleNormal="115" workbookViewId="0">
      <pane ySplit="1" topLeftCell="A2" activePane="bottomLeft" state="frozen"/>
      <selection activeCell="C23" sqref="C23"/>
      <selection pane="bottomLeft" activeCell="C21" sqref="C21"/>
    </sheetView>
  </sheetViews>
  <sheetFormatPr defaultRowHeight="15" x14ac:dyDescent="0.25"/>
  <cols>
    <col min="1" max="1" width="5.5703125" style="1" customWidth="1"/>
    <col min="2" max="2" width="3.85546875" customWidth="1"/>
    <col min="3" max="3" width="54.7109375" customWidth="1"/>
    <col min="4" max="4" width="36.42578125" customWidth="1"/>
    <col min="5" max="5" width="57.140625" customWidth="1"/>
    <col min="6" max="6" width="15.140625" hidden="1" customWidth="1"/>
    <col min="7" max="16" width="9.140625" style="36"/>
  </cols>
  <sheetData>
    <row r="1" spans="1:6" x14ac:dyDescent="0.25">
      <c r="A1" s="35" t="s">
        <v>371</v>
      </c>
      <c r="B1" s="36"/>
      <c r="C1" s="36"/>
      <c r="D1" s="36"/>
      <c r="E1" s="90" t="str">
        <f>"Risk Ranking - "&amp;ROUND('Collision Prec Score'!B23,1)</f>
        <v>Risk Ranking - 24.1</v>
      </c>
      <c r="F1" s="36"/>
    </row>
    <row r="2" spans="1:6" x14ac:dyDescent="0.25">
      <c r="A2" s="35"/>
      <c r="B2" s="36"/>
      <c r="C2" s="36"/>
      <c r="D2" s="36"/>
      <c r="E2" s="37" t="s">
        <v>216</v>
      </c>
      <c r="F2" s="36"/>
    </row>
    <row r="3" spans="1:6" x14ac:dyDescent="0.25">
      <c r="A3" s="19">
        <v>1</v>
      </c>
      <c r="B3" s="20" t="s">
        <v>127</v>
      </c>
      <c r="C3" s="21"/>
      <c r="D3" s="21"/>
      <c r="E3" s="114" t="s">
        <v>236</v>
      </c>
      <c r="F3">
        <v>1</v>
      </c>
    </row>
    <row r="4" spans="1:6" x14ac:dyDescent="0.25">
      <c r="A4" s="22"/>
      <c r="B4" s="23"/>
      <c r="C4" s="24" t="s">
        <v>84</v>
      </c>
      <c r="D4" s="24"/>
      <c r="E4" s="115"/>
      <c r="F4">
        <v>1</v>
      </c>
    </row>
    <row r="5" spans="1:6" x14ac:dyDescent="0.25">
      <c r="A5" s="22"/>
      <c r="B5" s="23"/>
      <c r="C5" s="24" t="s">
        <v>85</v>
      </c>
      <c r="D5" s="24"/>
      <c r="E5" s="115"/>
    </row>
    <row r="6" spans="1:6" x14ac:dyDescent="0.25">
      <c r="A6" s="22"/>
      <c r="B6" s="23"/>
      <c r="C6" s="24" t="s">
        <v>89</v>
      </c>
      <c r="D6" s="24"/>
      <c r="E6" s="115"/>
    </row>
    <row r="7" spans="1:6" x14ac:dyDescent="0.25">
      <c r="A7" s="25"/>
      <c r="B7" s="6"/>
      <c r="C7" s="26" t="s">
        <v>83</v>
      </c>
      <c r="D7" s="26"/>
      <c r="E7" s="116"/>
    </row>
    <row r="8" spans="1:6" x14ac:dyDescent="0.25">
      <c r="A8" s="35"/>
      <c r="B8" s="36"/>
      <c r="C8" s="36"/>
      <c r="D8" s="36"/>
      <c r="E8" s="36"/>
      <c r="F8" s="36"/>
    </row>
    <row r="9" spans="1:6" x14ac:dyDescent="0.25">
      <c r="A9" s="19">
        <v>2</v>
      </c>
      <c r="B9" s="20" t="s">
        <v>118</v>
      </c>
      <c r="C9" s="21"/>
      <c r="D9" s="21"/>
      <c r="E9" s="107" t="s">
        <v>222</v>
      </c>
      <c r="F9">
        <v>1</v>
      </c>
    </row>
    <row r="10" spans="1:6" ht="15" customHeight="1" x14ac:dyDescent="0.25">
      <c r="A10" s="22"/>
      <c r="B10" s="23"/>
      <c r="C10" s="24" t="s">
        <v>373</v>
      </c>
      <c r="D10" s="24"/>
      <c r="E10" s="108"/>
    </row>
    <row r="11" spans="1:6" x14ac:dyDescent="0.25">
      <c r="A11" s="22"/>
      <c r="B11" s="23"/>
      <c r="C11" s="24" t="s">
        <v>372</v>
      </c>
      <c r="D11" s="24"/>
      <c r="E11" s="108"/>
    </row>
    <row r="12" spans="1:6" x14ac:dyDescent="0.25">
      <c r="A12" s="25"/>
      <c r="B12" s="6"/>
      <c r="C12" s="26" t="s">
        <v>374</v>
      </c>
      <c r="D12" s="26"/>
      <c r="E12" s="109"/>
    </row>
    <row r="13" spans="1:6" x14ac:dyDescent="0.25">
      <c r="A13" s="35"/>
      <c r="B13" s="36"/>
      <c r="C13" s="36"/>
      <c r="D13" s="36"/>
      <c r="E13" s="36"/>
      <c r="F13" s="36"/>
    </row>
    <row r="14" spans="1:6" ht="15" customHeight="1" x14ac:dyDescent="0.25">
      <c r="A14" s="19">
        <v>3</v>
      </c>
      <c r="B14" s="20" t="s">
        <v>86</v>
      </c>
      <c r="C14" s="21"/>
      <c r="D14" s="21"/>
      <c r="E14" s="110" t="s">
        <v>217</v>
      </c>
      <c r="F14">
        <v>2</v>
      </c>
    </row>
    <row r="15" spans="1:6" x14ac:dyDescent="0.25">
      <c r="A15" s="22"/>
      <c r="B15" s="23"/>
      <c r="C15" s="23" t="s">
        <v>2</v>
      </c>
      <c r="D15" s="23"/>
      <c r="E15" s="111"/>
    </row>
    <row r="16" spans="1:6" x14ac:dyDescent="0.25">
      <c r="A16" s="25"/>
      <c r="B16" s="6"/>
      <c r="C16" s="6" t="s">
        <v>0</v>
      </c>
      <c r="D16" s="6"/>
      <c r="E16" s="112"/>
    </row>
    <row r="17" spans="1:6" x14ac:dyDescent="0.25">
      <c r="A17" s="35"/>
      <c r="B17" s="36"/>
      <c r="C17" s="36"/>
      <c r="D17" s="36"/>
      <c r="E17" s="36"/>
      <c r="F17" s="36"/>
    </row>
    <row r="18" spans="1:6" x14ac:dyDescent="0.25">
      <c r="A18" s="19">
        <v>4</v>
      </c>
      <c r="B18" s="20" t="s">
        <v>223</v>
      </c>
      <c r="C18" s="21"/>
      <c r="D18" s="21"/>
      <c r="E18" s="110" t="s">
        <v>218</v>
      </c>
      <c r="F18">
        <v>1</v>
      </c>
    </row>
    <row r="19" spans="1:6" x14ac:dyDescent="0.25">
      <c r="A19" s="22"/>
      <c r="B19" s="23"/>
      <c r="C19" s="23" t="s">
        <v>2</v>
      </c>
      <c r="D19" s="23"/>
      <c r="E19" s="111"/>
    </row>
    <row r="20" spans="1:6" x14ac:dyDescent="0.25">
      <c r="A20" s="25"/>
      <c r="B20" s="6"/>
      <c r="C20" s="6" t="s">
        <v>0</v>
      </c>
      <c r="D20" s="6"/>
      <c r="E20" s="112"/>
    </row>
    <row r="21" spans="1:6" x14ac:dyDescent="0.25">
      <c r="A21" s="35"/>
      <c r="B21" s="36"/>
      <c r="C21" s="36"/>
      <c r="D21" s="36"/>
      <c r="E21" s="36"/>
      <c r="F21" s="36"/>
    </row>
    <row r="22" spans="1:6" x14ac:dyDescent="0.25">
      <c r="A22" s="19">
        <v>5</v>
      </c>
      <c r="B22" s="20" t="s">
        <v>119</v>
      </c>
      <c r="C22" s="21"/>
      <c r="D22" s="21"/>
      <c r="E22" s="27"/>
      <c r="F22">
        <v>1</v>
      </c>
    </row>
    <row r="23" spans="1:6" x14ac:dyDescent="0.25">
      <c r="A23" s="22"/>
      <c r="B23" s="23"/>
      <c r="C23" s="23" t="s">
        <v>2</v>
      </c>
      <c r="D23" s="28"/>
      <c r="E23" s="29"/>
    </row>
    <row r="24" spans="1:6" x14ac:dyDescent="0.25">
      <c r="A24" s="25"/>
      <c r="B24" s="6"/>
      <c r="C24" s="6" t="s">
        <v>0</v>
      </c>
      <c r="D24" s="30"/>
      <c r="E24" s="31"/>
      <c r="F24" s="36"/>
    </row>
    <row r="25" spans="1:6" x14ac:dyDescent="0.25">
      <c r="A25" s="35"/>
      <c r="B25" s="38"/>
      <c r="C25" s="36"/>
      <c r="D25" s="36"/>
      <c r="E25" s="36"/>
      <c r="F25" s="36"/>
    </row>
    <row r="26" spans="1:6" x14ac:dyDescent="0.25">
      <c r="A26" s="19">
        <v>6</v>
      </c>
      <c r="B26" s="20" t="s">
        <v>82</v>
      </c>
      <c r="C26" s="21"/>
      <c r="D26" s="21"/>
      <c r="E26" s="110" t="s">
        <v>219</v>
      </c>
      <c r="F26">
        <v>2</v>
      </c>
    </row>
    <row r="27" spans="1:6" x14ac:dyDescent="0.25">
      <c r="A27" s="22"/>
      <c r="B27" s="23"/>
      <c r="C27" s="23" t="s">
        <v>445</v>
      </c>
      <c r="D27" s="23"/>
      <c r="E27" s="111"/>
    </row>
    <row r="28" spans="1:6" x14ac:dyDescent="0.25">
      <c r="A28" s="25"/>
      <c r="B28" s="6"/>
      <c r="C28" s="6" t="s">
        <v>120</v>
      </c>
      <c r="D28" s="6"/>
      <c r="E28" s="112"/>
    </row>
    <row r="29" spans="1:6" x14ac:dyDescent="0.25">
      <c r="A29" s="35"/>
      <c r="B29" s="36"/>
      <c r="C29" s="36"/>
      <c r="D29" s="36"/>
      <c r="E29" s="36"/>
      <c r="F29" s="36"/>
    </row>
    <row r="30" spans="1:6" x14ac:dyDescent="0.25">
      <c r="A30" s="19">
        <v>7</v>
      </c>
      <c r="B30" s="20" t="s">
        <v>122</v>
      </c>
      <c r="C30" s="21"/>
      <c r="D30" s="21"/>
      <c r="E30" s="110" t="s">
        <v>220</v>
      </c>
      <c r="F30">
        <v>20</v>
      </c>
    </row>
    <row r="31" spans="1:6" x14ac:dyDescent="0.25">
      <c r="A31" s="25"/>
      <c r="B31" s="6"/>
      <c r="C31" s="6"/>
      <c r="D31" s="6"/>
      <c r="E31" s="112"/>
    </row>
    <row r="32" spans="1:6" ht="15" customHeight="1" x14ac:dyDescent="0.25">
      <c r="A32" s="39"/>
      <c r="B32" s="40"/>
      <c r="C32" s="40"/>
      <c r="D32" s="40"/>
      <c r="E32" s="41"/>
    </row>
    <row r="33" spans="1:6" ht="15" customHeight="1" x14ac:dyDescent="0.25">
      <c r="A33" s="19">
        <v>8</v>
      </c>
      <c r="B33" s="20" t="s">
        <v>376</v>
      </c>
      <c r="C33" s="21"/>
      <c r="D33" s="21"/>
      <c r="E33" s="110" t="s">
        <v>393</v>
      </c>
      <c r="F33">
        <v>1</v>
      </c>
    </row>
    <row r="34" spans="1:6" ht="47.25" customHeight="1" x14ac:dyDescent="0.25">
      <c r="A34" s="25"/>
      <c r="B34" s="6"/>
      <c r="C34" s="6"/>
      <c r="D34" s="6"/>
      <c r="E34" s="113"/>
    </row>
    <row r="35" spans="1:6" x14ac:dyDescent="0.25">
      <c r="A35" s="39"/>
      <c r="B35" s="40"/>
      <c r="C35" s="40"/>
      <c r="D35" s="40"/>
      <c r="E35" s="41"/>
      <c r="F35" s="36"/>
    </row>
    <row r="36" spans="1:6" x14ac:dyDescent="0.25">
      <c r="A36" s="19">
        <v>9</v>
      </c>
      <c r="B36" s="20" t="s">
        <v>204</v>
      </c>
      <c r="C36" s="21"/>
      <c r="D36" s="21"/>
      <c r="E36" s="27"/>
    </row>
    <row r="37" spans="1:6" x14ac:dyDescent="0.25">
      <c r="A37" s="22"/>
      <c r="B37" s="23"/>
      <c r="C37" s="23" t="s">
        <v>448</v>
      </c>
      <c r="D37" s="23"/>
      <c r="E37" s="106" t="s">
        <v>221</v>
      </c>
      <c r="F37">
        <v>1</v>
      </c>
    </row>
    <row r="38" spans="1:6" x14ac:dyDescent="0.25">
      <c r="A38" s="22"/>
      <c r="B38" s="23"/>
      <c r="C38" s="23"/>
      <c r="D38" s="32"/>
      <c r="E38" s="106"/>
    </row>
    <row r="39" spans="1:6" x14ac:dyDescent="0.25">
      <c r="A39" s="22"/>
      <c r="B39" s="23"/>
      <c r="C39" s="32" t="s">
        <v>453</v>
      </c>
      <c r="D39" s="32"/>
      <c r="E39" s="106"/>
      <c r="F39">
        <v>1</v>
      </c>
    </row>
    <row r="40" spans="1:6" x14ac:dyDescent="0.25">
      <c r="A40" s="22"/>
      <c r="B40" s="23"/>
      <c r="C40" s="23"/>
      <c r="D40" s="32"/>
      <c r="E40" s="106"/>
    </row>
    <row r="41" spans="1:6" x14ac:dyDescent="0.25">
      <c r="A41" s="22"/>
      <c r="B41" s="32"/>
      <c r="C41" s="32" t="s">
        <v>454</v>
      </c>
      <c r="D41" s="23"/>
      <c r="E41" s="106"/>
      <c r="F41">
        <v>1</v>
      </c>
    </row>
    <row r="42" spans="1:6" x14ac:dyDescent="0.25">
      <c r="A42" s="22"/>
      <c r="B42" s="32"/>
      <c r="C42" s="23"/>
      <c r="D42" s="23"/>
      <c r="E42" s="106"/>
    </row>
    <row r="43" spans="1:6" x14ac:dyDescent="0.25">
      <c r="A43" s="22"/>
      <c r="B43" s="32"/>
      <c r="C43" s="32" t="s">
        <v>455</v>
      </c>
      <c r="D43" s="23"/>
      <c r="E43" s="106"/>
      <c r="F43">
        <v>1</v>
      </c>
    </row>
    <row r="44" spans="1:6" x14ac:dyDescent="0.25">
      <c r="A44" s="22"/>
      <c r="B44" s="32"/>
      <c r="C44" s="32"/>
      <c r="D44" s="23"/>
      <c r="E44" s="76"/>
    </row>
    <row r="45" spans="1:6" x14ac:dyDescent="0.25">
      <c r="A45" s="22"/>
      <c r="B45" s="32"/>
      <c r="C45" s="32" t="s">
        <v>456</v>
      </c>
      <c r="D45" s="23"/>
      <c r="E45" s="76"/>
      <c r="F45">
        <v>1</v>
      </c>
    </row>
    <row r="46" spans="1:6" x14ac:dyDescent="0.25">
      <c r="A46" s="25"/>
      <c r="B46" s="33"/>
      <c r="C46" s="6"/>
      <c r="D46" s="6"/>
      <c r="E46" s="34"/>
    </row>
    <row r="47" spans="1:6" x14ac:dyDescent="0.25">
      <c r="A47" s="35"/>
      <c r="B47" s="36"/>
      <c r="C47" s="36"/>
      <c r="D47" s="36"/>
      <c r="E47" s="36"/>
      <c r="F47" s="36"/>
    </row>
    <row r="48" spans="1:6" x14ac:dyDescent="0.25">
      <c r="A48" s="35"/>
      <c r="B48" s="36"/>
      <c r="C48" s="36"/>
      <c r="D48" s="36"/>
      <c r="E48" s="36"/>
      <c r="F48" s="36">
        <v>1</v>
      </c>
    </row>
    <row r="49" spans="1:6" x14ac:dyDescent="0.25">
      <c r="A49" s="35"/>
      <c r="B49" s="36"/>
      <c r="C49" s="36"/>
      <c r="D49" s="36"/>
      <c r="E49" s="36"/>
      <c r="F49" s="36"/>
    </row>
    <row r="50" spans="1:6" x14ac:dyDescent="0.25">
      <c r="A50" s="35"/>
      <c r="B50" s="36"/>
      <c r="C50" s="36"/>
      <c r="D50" s="36"/>
      <c r="E50" s="36"/>
      <c r="F50" s="36"/>
    </row>
    <row r="51" spans="1:6" x14ac:dyDescent="0.25">
      <c r="A51" s="35"/>
      <c r="B51" s="36"/>
      <c r="C51" s="36"/>
      <c r="D51" s="36"/>
      <c r="E51" s="36"/>
      <c r="F51" s="36"/>
    </row>
    <row r="52" spans="1:6" x14ac:dyDescent="0.25">
      <c r="A52" s="35"/>
      <c r="B52" s="36"/>
      <c r="C52" s="36"/>
      <c r="D52" s="36"/>
      <c r="E52" s="36"/>
      <c r="F52" s="36"/>
    </row>
    <row r="53" spans="1:6" x14ac:dyDescent="0.25">
      <c r="A53" s="35"/>
      <c r="B53" s="36"/>
      <c r="C53" s="36"/>
      <c r="D53" s="36"/>
      <c r="E53" s="36"/>
      <c r="F53" s="36"/>
    </row>
    <row r="54" spans="1:6" x14ac:dyDescent="0.25">
      <c r="A54" s="35"/>
      <c r="B54" s="36"/>
      <c r="C54" s="36"/>
      <c r="D54" s="36"/>
      <c r="E54" s="36"/>
    </row>
    <row r="55" spans="1:6" x14ac:dyDescent="0.25">
      <c r="A55" s="35"/>
      <c r="B55" s="36"/>
      <c r="C55" s="36"/>
      <c r="D55" s="36"/>
      <c r="E55" s="36"/>
    </row>
    <row r="56" spans="1:6" x14ac:dyDescent="0.25">
      <c r="A56" s="35"/>
      <c r="B56" s="36"/>
      <c r="C56" s="36"/>
      <c r="D56" s="36"/>
      <c r="E56" s="36"/>
    </row>
    <row r="57" spans="1:6" x14ac:dyDescent="0.25">
      <c r="A57" s="35"/>
      <c r="B57" s="36"/>
      <c r="C57" s="36"/>
      <c r="D57" s="36"/>
      <c r="E57" s="36"/>
    </row>
    <row r="58" spans="1:6" x14ac:dyDescent="0.25">
      <c r="A58" s="35"/>
      <c r="B58" s="36"/>
      <c r="C58" s="36"/>
      <c r="D58" s="36"/>
      <c r="E58" s="36"/>
    </row>
    <row r="59" spans="1:6" x14ac:dyDescent="0.25">
      <c r="A59" s="35"/>
      <c r="B59" s="36"/>
      <c r="C59" s="36"/>
      <c r="D59" s="36"/>
      <c r="E59" s="36"/>
    </row>
    <row r="60" spans="1:6" x14ac:dyDescent="0.25">
      <c r="A60" s="35"/>
      <c r="B60" s="36"/>
      <c r="C60" s="36"/>
      <c r="D60" s="36"/>
      <c r="E60" s="36"/>
    </row>
    <row r="61" spans="1:6" x14ac:dyDescent="0.25">
      <c r="A61" s="35"/>
      <c r="B61" s="36"/>
      <c r="C61" s="36"/>
      <c r="D61" s="36"/>
      <c r="E61" s="36"/>
    </row>
    <row r="62" spans="1:6" x14ac:dyDescent="0.25">
      <c r="A62" s="35"/>
      <c r="B62" s="36"/>
      <c r="C62" s="36"/>
      <c r="D62" s="36"/>
      <c r="E62" s="36"/>
    </row>
    <row r="63" spans="1:6" x14ac:dyDescent="0.25">
      <c r="A63" s="35"/>
      <c r="B63" s="36"/>
      <c r="C63" s="36"/>
      <c r="D63" s="36"/>
      <c r="E63" s="36"/>
    </row>
    <row r="64" spans="1:6" x14ac:dyDescent="0.25">
      <c r="A64" s="35"/>
      <c r="B64" s="36"/>
      <c r="C64" s="36"/>
      <c r="D64" s="36"/>
      <c r="E64" s="36"/>
    </row>
    <row r="65" spans="1:5" x14ac:dyDescent="0.25">
      <c r="A65" s="35"/>
      <c r="B65" s="36"/>
      <c r="C65" s="36"/>
      <c r="D65" s="36"/>
      <c r="E65" s="36"/>
    </row>
    <row r="66" spans="1:5" x14ac:dyDescent="0.25">
      <c r="A66" s="35"/>
      <c r="B66" s="36"/>
      <c r="C66" s="36"/>
      <c r="D66" s="36"/>
      <c r="E66" s="36"/>
    </row>
    <row r="67" spans="1:5" x14ac:dyDescent="0.25">
      <c r="A67" s="35"/>
      <c r="B67" s="36"/>
      <c r="C67" s="36"/>
      <c r="D67" s="36"/>
      <c r="E67" s="36"/>
    </row>
    <row r="68" spans="1:5" x14ac:dyDescent="0.25">
      <c r="A68" s="35"/>
      <c r="B68" s="36"/>
      <c r="C68" s="36"/>
      <c r="D68" s="36"/>
      <c r="E68" s="36"/>
    </row>
    <row r="69" spans="1:5" x14ac:dyDescent="0.25">
      <c r="A69" s="35"/>
      <c r="B69" s="36"/>
      <c r="C69" s="36"/>
      <c r="D69" s="36"/>
      <c r="E69" s="36"/>
    </row>
    <row r="70" spans="1:5" x14ac:dyDescent="0.25">
      <c r="A70" s="35"/>
      <c r="B70" s="36"/>
      <c r="C70" s="36"/>
      <c r="D70" s="36"/>
      <c r="E70" s="36"/>
    </row>
    <row r="71" spans="1:5" x14ac:dyDescent="0.25">
      <c r="A71" s="35"/>
      <c r="B71" s="36"/>
      <c r="C71" s="36"/>
      <c r="D71" s="36"/>
      <c r="E71" s="36"/>
    </row>
    <row r="72" spans="1:5" x14ac:dyDescent="0.25">
      <c r="A72" s="35"/>
      <c r="B72" s="36"/>
      <c r="C72" s="36"/>
      <c r="D72" s="36"/>
      <c r="E72" s="36"/>
    </row>
    <row r="73" spans="1:5" x14ac:dyDescent="0.25">
      <c r="A73" s="35"/>
      <c r="B73" s="36"/>
      <c r="C73" s="36"/>
      <c r="D73" s="36"/>
      <c r="E73" s="36"/>
    </row>
    <row r="74" spans="1:5" x14ac:dyDescent="0.25">
      <c r="A74" s="35"/>
      <c r="B74" s="36"/>
      <c r="C74" s="36"/>
      <c r="D74" s="36"/>
      <c r="E74" s="36"/>
    </row>
    <row r="75" spans="1:5" x14ac:dyDescent="0.25">
      <c r="A75" s="35"/>
      <c r="B75" s="36"/>
      <c r="C75" s="36"/>
      <c r="D75" s="36"/>
      <c r="E75" s="36"/>
    </row>
    <row r="76" spans="1:5" x14ac:dyDescent="0.25">
      <c r="A76" s="35"/>
      <c r="B76" s="36"/>
      <c r="C76" s="36"/>
      <c r="D76" s="36"/>
      <c r="E76" s="36"/>
    </row>
    <row r="77" spans="1:5" x14ac:dyDescent="0.25">
      <c r="A77" s="35"/>
      <c r="B77" s="36"/>
      <c r="C77" s="36"/>
      <c r="D77" s="36"/>
      <c r="E77" s="36"/>
    </row>
    <row r="78" spans="1:5" x14ac:dyDescent="0.25">
      <c r="A78" s="35"/>
      <c r="B78" s="36"/>
      <c r="C78" s="36"/>
      <c r="D78" s="36"/>
      <c r="E78" s="36"/>
    </row>
    <row r="79" spans="1:5" x14ac:dyDescent="0.25">
      <c r="A79" s="35"/>
      <c r="B79" s="36"/>
      <c r="C79" s="36"/>
      <c r="D79" s="36"/>
      <c r="E79" s="36"/>
    </row>
    <row r="80" spans="1:5" x14ac:dyDescent="0.25">
      <c r="A80" s="35"/>
      <c r="B80" s="36"/>
      <c r="C80" s="36"/>
      <c r="D80" s="36"/>
      <c r="E80" s="36"/>
    </row>
    <row r="81" spans="1:5" x14ac:dyDescent="0.25">
      <c r="A81" s="35"/>
      <c r="B81" s="36"/>
      <c r="C81" s="36"/>
      <c r="D81" s="36"/>
      <c r="E81" s="36"/>
    </row>
    <row r="82" spans="1:5" x14ac:dyDescent="0.25">
      <c r="A82" s="35"/>
      <c r="B82" s="36"/>
      <c r="C82" s="36"/>
      <c r="D82" s="36"/>
      <c r="E82" s="36"/>
    </row>
    <row r="83" spans="1:5" x14ac:dyDescent="0.25">
      <c r="A83" s="35"/>
      <c r="B83" s="36"/>
      <c r="C83" s="36"/>
      <c r="D83" s="36"/>
      <c r="E83" s="36"/>
    </row>
    <row r="84" spans="1:5" x14ac:dyDescent="0.25">
      <c r="A84" s="35"/>
      <c r="B84" s="36"/>
      <c r="C84" s="36"/>
      <c r="D84" s="36"/>
      <c r="E84" s="36"/>
    </row>
  </sheetData>
  <mergeCells count="8">
    <mergeCell ref="E37:E43"/>
    <mergeCell ref="E3:E7"/>
    <mergeCell ref="E9:E12"/>
    <mergeCell ref="E14:E16"/>
    <mergeCell ref="E18:E20"/>
    <mergeCell ref="E26:E28"/>
    <mergeCell ref="E30:E31"/>
    <mergeCell ref="E33:E34"/>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9633" r:id="rId3" name="Drop Down 1">
              <controlPr defaultSize="0" autoLine="0" autoPict="0">
                <anchor moveWithCells="1">
                  <from>
                    <xdr:col>3</xdr:col>
                    <xdr:colOff>0</xdr:colOff>
                    <xdr:row>2</xdr:row>
                    <xdr:rowOff>38100</xdr:rowOff>
                  </from>
                  <to>
                    <xdr:col>3</xdr:col>
                    <xdr:colOff>1800225</xdr:colOff>
                    <xdr:row>3</xdr:row>
                    <xdr:rowOff>47625</xdr:rowOff>
                  </to>
                </anchor>
              </controlPr>
            </control>
          </mc:Choice>
        </mc:AlternateContent>
        <mc:AlternateContent xmlns:mc="http://schemas.openxmlformats.org/markup-compatibility/2006">
          <mc:Choice Requires="x14">
            <control shapeId="69634" r:id="rId4" name="Drop Down 2">
              <controlPr defaultSize="0" autoLine="0" autoPict="0">
                <anchor moveWithCells="1">
                  <from>
                    <xdr:col>2</xdr:col>
                    <xdr:colOff>3638550</xdr:colOff>
                    <xdr:row>8</xdr:row>
                    <xdr:rowOff>57150</xdr:rowOff>
                  </from>
                  <to>
                    <xdr:col>3</xdr:col>
                    <xdr:colOff>1800225</xdr:colOff>
                    <xdr:row>9</xdr:row>
                    <xdr:rowOff>66675</xdr:rowOff>
                  </to>
                </anchor>
              </controlPr>
            </control>
          </mc:Choice>
        </mc:AlternateContent>
        <mc:AlternateContent xmlns:mc="http://schemas.openxmlformats.org/markup-compatibility/2006">
          <mc:Choice Requires="x14">
            <control shapeId="69635" r:id="rId5" name="Drop Down 3">
              <controlPr defaultSize="0" autoLine="0" autoPict="0">
                <anchor moveWithCells="1">
                  <from>
                    <xdr:col>3</xdr:col>
                    <xdr:colOff>0</xdr:colOff>
                    <xdr:row>13</xdr:row>
                    <xdr:rowOff>28575</xdr:rowOff>
                  </from>
                  <to>
                    <xdr:col>3</xdr:col>
                    <xdr:colOff>1800225</xdr:colOff>
                    <xdr:row>14</xdr:row>
                    <xdr:rowOff>38100</xdr:rowOff>
                  </to>
                </anchor>
              </controlPr>
            </control>
          </mc:Choice>
        </mc:AlternateContent>
        <mc:AlternateContent xmlns:mc="http://schemas.openxmlformats.org/markup-compatibility/2006">
          <mc:Choice Requires="x14">
            <control shapeId="69636" r:id="rId6" name="Drop Down 4">
              <controlPr defaultSize="0" autoLine="0" autoPict="0">
                <anchor moveWithCells="1">
                  <from>
                    <xdr:col>3</xdr:col>
                    <xdr:colOff>0</xdr:colOff>
                    <xdr:row>17</xdr:row>
                    <xdr:rowOff>38100</xdr:rowOff>
                  </from>
                  <to>
                    <xdr:col>3</xdr:col>
                    <xdr:colOff>1800225</xdr:colOff>
                    <xdr:row>18</xdr:row>
                    <xdr:rowOff>47625</xdr:rowOff>
                  </to>
                </anchor>
              </controlPr>
            </control>
          </mc:Choice>
        </mc:AlternateContent>
        <mc:AlternateContent xmlns:mc="http://schemas.openxmlformats.org/markup-compatibility/2006">
          <mc:Choice Requires="x14">
            <control shapeId="69637" r:id="rId7" name="Drop Down 5">
              <controlPr defaultSize="0" autoLine="0" autoPict="0">
                <anchor moveWithCells="1">
                  <from>
                    <xdr:col>3</xdr:col>
                    <xdr:colOff>0</xdr:colOff>
                    <xdr:row>21</xdr:row>
                    <xdr:rowOff>28575</xdr:rowOff>
                  </from>
                  <to>
                    <xdr:col>3</xdr:col>
                    <xdr:colOff>1800225</xdr:colOff>
                    <xdr:row>22</xdr:row>
                    <xdr:rowOff>38100</xdr:rowOff>
                  </to>
                </anchor>
              </controlPr>
            </control>
          </mc:Choice>
        </mc:AlternateContent>
        <mc:AlternateContent xmlns:mc="http://schemas.openxmlformats.org/markup-compatibility/2006">
          <mc:Choice Requires="x14">
            <control shapeId="69638" r:id="rId8" name="Drop Down 6">
              <controlPr defaultSize="0" autoLine="0" autoPict="0">
                <anchor moveWithCells="1">
                  <from>
                    <xdr:col>3</xdr:col>
                    <xdr:colOff>0</xdr:colOff>
                    <xdr:row>25</xdr:row>
                    <xdr:rowOff>28575</xdr:rowOff>
                  </from>
                  <to>
                    <xdr:col>3</xdr:col>
                    <xdr:colOff>1800225</xdr:colOff>
                    <xdr:row>26</xdr:row>
                    <xdr:rowOff>38100</xdr:rowOff>
                  </to>
                </anchor>
              </controlPr>
            </control>
          </mc:Choice>
        </mc:AlternateContent>
        <mc:AlternateContent xmlns:mc="http://schemas.openxmlformats.org/markup-compatibility/2006">
          <mc:Choice Requires="x14">
            <control shapeId="69639" r:id="rId9" name="Drop Down 7">
              <controlPr defaultSize="0" autoLine="0" autoPict="0">
                <anchor moveWithCells="1">
                  <from>
                    <xdr:col>2</xdr:col>
                    <xdr:colOff>3629025</xdr:colOff>
                    <xdr:row>29</xdr:row>
                    <xdr:rowOff>38100</xdr:rowOff>
                  </from>
                  <to>
                    <xdr:col>3</xdr:col>
                    <xdr:colOff>1781175</xdr:colOff>
                    <xdr:row>30</xdr:row>
                    <xdr:rowOff>47625</xdr:rowOff>
                  </to>
                </anchor>
              </controlPr>
            </control>
          </mc:Choice>
        </mc:AlternateContent>
        <mc:AlternateContent xmlns:mc="http://schemas.openxmlformats.org/markup-compatibility/2006">
          <mc:Choice Requires="x14">
            <control shapeId="69640" r:id="rId10" name="Drop Down 8">
              <controlPr defaultSize="0" autoLine="0" autoPict="0">
                <anchor moveWithCells="1">
                  <from>
                    <xdr:col>3</xdr:col>
                    <xdr:colOff>0</xdr:colOff>
                    <xdr:row>36</xdr:row>
                    <xdr:rowOff>0</xdr:rowOff>
                  </from>
                  <to>
                    <xdr:col>3</xdr:col>
                    <xdr:colOff>1800225</xdr:colOff>
                    <xdr:row>37</xdr:row>
                    <xdr:rowOff>9525</xdr:rowOff>
                  </to>
                </anchor>
              </controlPr>
            </control>
          </mc:Choice>
        </mc:AlternateContent>
        <mc:AlternateContent xmlns:mc="http://schemas.openxmlformats.org/markup-compatibility/2006">
          <mc:Choice Requires="x14">
            <control shapeId="69641" r:id="rId11" name="Drop Down 9">
              <controlPr defaultSize="0" autoLine="0" autoPict="0">
                <anchor moveWithCells="1">
                  <from>
                    <xdr:col>3</xdr:col>
                    <xdr:colOff>9525</xdr:colOff>
                    <xdr:row>38</xdr:row>
                    <xdr:rowOff>0</xdr:rowOff>
                  </from>
                  <to>
                    <xdr:col>3</xdr:col>
                    <xdr:colOff>1809750</xdr:colOff>
                    <xdr:row>39</xdr:row>
                    <xdr:rowOff>9525</xdr:rowOff>
                  </to>
                </anchor>
              </controlPr>
            </control>
          </mc:Choice>
        </mc:AlternateContent>
        <mc:AlternateContent xmlns:mc="http://schemas.openxmlformats.org/markup-compatibility/2006">
          <mc:Choice Requires="x14">
            <control shapeId="69642" r:id="rId12" name="Drop Down 10">
              <controlPr defaultSize="0" autoLine="0" autoPict="0">
                <anchor moveWithCells="1">
                  <from>
                    <xdr:col>3</xdr:col>
                    <xdr:colOff>0</xdr:colOff>
                    <xdr:row>39</xdr:row>
                    <xdr:rowOff>180975</xdr:rowOff>
                  </from>
                  <to>
                    <xdr:col>3</xdr:col>
                    <xdr:colOff>1800225</xdr:colOff>
                    <xdr:row>41</xdr:row>
                    <xdr:rowOff>0</xdr:rowOff>
                  </to>
                </anchor>
              </controlPr>
            </control>
          </mc:Choice>
        </mc:AlternateContent>
        <mc:AlternateContent xmlns:mc="http://schemas.openxmlformats.org/markup-compatibility/2006">
          <mc:Choice Requires="x14">
            <control shapeId="69643" r:id="rId13" name="Drop Down 11">
              <controlPr defaultSize="0" autoLine="0" autoPict="0">
                <anchor moveWithCells="1">
                  <from>
                    <xdr:col>3</xdr:col>
                    <xdr:colOff>0</xdr:colOff>
                    <xdr:row>42</xdr:row>
                    <xdr:rowOff>0</xdr:rowOff>
                  </from>
                  <to>
                    <xdr:col>3</xdr:col>
                    <xdr:colOff>1800225</xdr:colOff>
                    <xdr:row>43</xdr:row>
                    <xdr:rowOff>9525</xdr:rowOff>
                  </to>
                </anchor>
              </controlPr>
            </control>
          </mc:Choice>
        </mc:AlternateContent>
        <mc:AlternateContent xmlns:mc="http://schemas.openxmlformats.org/markup-compatibility/2006">
          <mc:Choice Requires="x14">
            <control shapeId="69644" r:id="rId14" name="Drop Down 12">
              <controlPr defaultSize="0" autoLine="0" autoPict="0">
                <anchor moveWithCells="1">
                  <from>
                    <xdr:col>2</xdr:col>
                    <xdr:colOff>3638550</xdr:colOff>
                    <xdr:row>8</xdr:row>
                    <xdr:rowOff>57150</xdr:rowOff>
                  </from>
                  <to>
                    <xdr:col>3</xdr:col>
                    <xdr:colOff>1800225</xdr:colOff>
                    <xdr:row>9</xdr:row>
                    <xdr:rowOff>66675</xdr:rowOff>
                  </to>
                </anchor>
              </controlPr>
            </control>
          </mc:Choice>
        </mc:AlternateContent>
        <mc:AlternateContent xmlns:mc="http://schemas.openxmlformats.org/markup-compatibility/2006">
          <mc:Choice Requires="x14">
            <control shapeId="69645" r:id="rId15" name="Drop Down 13">
              <controlPr defaultSize="0" autoLine="0" autoPict="0">
                <anchor moveWithCells="1">
                  <from>
                    <xdr:col>2</xdr:col>
                    <xdr:colOff>3638550</xdr:colOff>
                    <xdr:row>8</xdr:row>
                    <xdr:rowOff>57150</xdr:rowOff>
                  </from>
                  <to>
                    <xdr:col>3</xdr:col>
                    <xdr:colOff>1800225</xdr:colOff>
                    <xdr:row>9</xdr:row>
                    <xdr:rowOff>66675</xdr:rowOff>
                  </to>
                </anchor>
              </controlPr>
            </control>
          </mc:Choice>
        </mc:AlternateContent>
        <mc:AlternateContent xmlns:mc="http://schemas.openxmlformats.org/markup-compatibility/2006">
          <mc:Choice Requires="x14">
            <control shapeId="69646" r:id="rId16" name="Drop Down 14">
              <controlPr defaultSize="0" autoLine="0" autoPict="0">
                <anchor moveWithCells="1">
                  <from>
                    <xdr:col>2</xdr:col>
                    <xdr:colOff>3638550</xdr:colOff>
                    <xdr:row>8</xdr:row>
                    <xdr:rowOff>57150</xdr:rowOff>
                  </from>
                  <to>
                    <xdr:col>3</xdr:col>
                    <xdr:colOff>1800225</xdr:colOff>
                    <xdr:row>9</xdr:row>
                    <xdr:rowOff>66675</xdr:rowOff>
                  </to>
                </anchor>
              </controlPr>
            </control>
          </mc:Choice>
        </mc:AlternateContent>
        <mc:AlternateContent xmlns:mc="http://schemas.openxmlformats.org/markup-compatibility/2006">
          <mc:Choice Requires="x14">
            <control shapeId="69647" r:id="rId17" name="Drop Down 15">
              <controlPr defaultSize="0" autoLine="0" autoPict="0">
                <anchor moveWithCells="1">
                  <from>
                    <xdr:col>2</xdr:col>
                    <xdr:colOff>3638550</xdr:colOff>
                    <xdr:row>8</xdr:row>
                    <xdr:rowOff>57150</xdr:rowOff>
                  </from>
                  <to>
                    <xdr:col>3</xdr:col>
                    <xdr:colOff>1800225</xdr:colOff>
                    <xdr:row>9</xdr:row>
                    <xdr:rowOff>66675</xdr:rowOff>
                  </to>
                </anchor>
              </controlPr>
            </control>
          </mc:Choice>
        </mc:AlternateContent>
        <mc:AlternateContent xmlns:mc="http://schemas.openxmlformats.org/markup-compatibility/2006">
          <mc:Choice Requires="x14">
            <control shapeId="69648" r:id="rId18" name="Drop Down 16">
              <controlPr defaultSize="0" autoLine="0" autoPict="0">
                <anchor moveWithCells="1">
                  <from>
                    <xdr:col>3</xdr:col>
                    <xdr:colOff>9525</xdr:colOff>
                    <xdr:row>44</xdr:row>
                    <xdr:rowOff>0</xdr:rowOff>
                  </from>
                  <to>
                    <xdr:col>3</xdr:col>
                    <xdr:colOff>1809750</xdr:colOff>
                    <xdr:row>45</xdr:row>
                    <xdr:rowOff>9525</xdr:rowOff>
                  </to>
                </anchor>
              </controlPr>
            </control>
          </mc:Choice>
        </mc:AlternateContent>
        <mc:AlternateContent xmlns:mc="http://schemas.openxmlformats.org/markup-compatibility/2006">
          <mc:Choice Requires="x14">
            <control shapeId="69650" r:id="rId19" name="Drop Down 18">
              <controlPr defaultSize="0" autoLine="0" autoPict="0">
                <anchor moveWithCells="1">
                  <from>
                    <xdr:col>3</xdr:col>
                    <xdr:colOff>9525</xdr:colOff>
                    <xdr:row>32</xdr:row>
                    <xdr:rowOff>38100</xdr:rowOff>
                  </from>
                  <to>
                    <xdr:col>3</xdr:col>
                    <xdr:colOff>1809750</xdr:colOff>
                    <xdr:row>33</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70721-4C50-4976-B2ED-CFA9F298D8BA}">
  <sheetPr>
    <tabColor theme="6" tint="0.59999389629810485"/>
  </sheetPr>
  <dimension ref="A1:P98"/>
  <sheetViews>
    <sheetView showGridLines="0" zoomScale="115" zoomScaleNormal="115" workbookViewId="0">
      <pane ySplit="1" topLeftCell="A44" activePane="bottomLeft" state="frozen"/>
      <selection activeCell="C23" sqref="C23"/>
      <selection pane="bottomLeft" activeCell="C18" sqref="C18"/>
    </sheetView>
  </sheetViews>
  <sheetFormatPr defaultRowHeight="15" x14ac:dyDescent="0.25"/>
  <cols>
    <col min="1" max="1" width="5.5703125" style="1" customWidth="1"/>
    <col min="2" max="2" width="3.85546875" customWidth="1"/>
    <col min="3" max="3" width="54.7109375" customWidth="1"/>
    <col min="4" max="4" width="36.42578125" customWidth="1"/>
    <col min="5" max="5" width="51.140625" customWidth="1"/>
    <col min="6" max="6" width="15.140625" hidden="1" customWidth="1"/>
    <col min="7" max="16" width="9.140625" style="36"/>
  </cols>
  <sheetData>
    <row r="1" spans="1:6" x14ac:dyDescent="0.25">
      <c r="A1" s="35" t="s">
        <v>244</v>
      </c>
      <c r="B1" s="36"/>
      <c r="C1" s="36"/>
      <c r="D1" s="36"/>
      <c r="E1" s="90" t="str">
        <f>"Risk Ranking - "&amp;ROUND('Loss of Cont Score'!B24,1)</f>
        <v>Risk Ranking - 27.3</v>
      </c>
      <c r="F1" s="36"/>
    </row>
    <row r="2" spans="1:6" s="36" customFormat="1" x14ac:dyDescent="0.25">
      <c r="A2" s="35"/>
    </row>
    <row r="3" spans="1:6" s="36" customFormat="1" x14ac:dyDescent="0.25">
      <c r="A3" s="19">
        <v>1</v>
      </c>
      <c r="B3" s="20" t="s">
        <v>280</v>
      </c>
      <c r="C3" s="21"/>
      <c r="D3" s="21"/>
      <c r="E3" s="107" t="s">
        <v>241</v>
      </c>
      <c r="F3">
        <v>1</v>
      </c>
    </row>
    <row r="4" spans="1:6" s="36" customFormat="1" x14ac:dyDescent="0.25">
      <c r="A4" s="22"/>
      <c r="B4" s="23"/>
      <c r="C4" s="7" t="s">
        <v>142</v>
      </c>
      <c r="D4" s="24"/>
      <c r="E4" s="108"/>
      <c r="F4"/>
    </row>
    <row r="5" spans="1:6" s="36" customFormat="1" x14ac:dyDescent="0.25">
      <c r="A5" s="22"/>
      <c r="B5" s="23"/>
      <c r="C5" s="7" t="s">
        <v>140</v>
      </c>
      <c r="D5" s="24"/>
      <c r="E5" s="108"/>
      <c r="F5"/>
    </row>
    <row r="6" spans="1:6" s="36" customFormat="1" x14ac:dyDescent="0.25">
      <c r="A6" s="22"/>
      <c r="B6" s="23"/>
      <c r="C6" s="7" t="s">
        <v>141</v>
      </c>
      <c r="D6" s="24"/>
      <c r="E6" s="108"/>
      <c r="F6"/>
    </row>
    <row r="7" spans="1:6" s="36" customFormat="1" x14ac:dyDescent="0.25">
      <c r="A7" s="25"/>
      <c r="B7" s="6"/>
      <c r="C7" s="26" t="s">
        <v>281</v>
      </c>
      <c r="D7" s="26"/>
      <c r="E7" s="109"/>
      <c r="F7"/>
    </row>
    <row r="8" spans="1:6" s="36" customFormat="1" x14ac:dyDescent="0.25">
      <c r="A8" s="35"/>
    </row>
    <row r="9" spans="1:6" s="36" customFormat="1" ht="15" customHeight="1" x14ac:dyDescent="0.25">
      <c r="A9" s="19">
        <v>2</v>
      </c>
      <c r="B9" s="20" t="s">
        <v>86</v>
      </c>
      <c r="C9" s="21"/>
      <c r="D9" s="21"/>
      <c r="E9" s="110" t="s">
        <v>217</v>
      </c>
      <c r="F9">
        <v>1</v>
      </c>
    </row>
    <row r="10" spans="1:6" s="36" customFormat="1" x14ac:dyDescent="0.25">
      <c r="A10" s="22"/>
      <c r="B10" s="23"/>
      <c r="C10" s="23" t="s">
        <v>2</v>
      </c>
      <c r="D10" s="23"/>
      <c r="E10" s="111"/>
      <c r="F10"/>
    </row>
    <row r="11" spans="1:6" s="36" customFormat="1" x14ac:dyDescent="0.25">
      <c r="A11" s="25"/>
      <c r="B11" s="6"/>
      <c r="C11" s="6" t="s">
        <v>0</v>
      </c>
      <c r="D11" s="6"/>
      <c r="E11" s="112"/>
      <c r="F11"/>
    </row>
    <row r="12" spans="1:6" s="36" customFormat="1" x14ac:dyDescent="0.25">
      <c r="A12" s="35"/>
    </row>
    <row r="13" spans="1:6" s="36" customFormat="1" x14ac:dyDescent="0.25">
      <c r="A13" s="19">
        <v>3</v>
      </c>
      <c r="B13" s="20" t="s">
        <v>223</v>
      </c>
      <c r="C13" s="21"/>
      <c r="D13" s="21"/>
      <c r="E13" s="110" t="s">
        <v>218</v>
      </c>
      <c r="F13">
        <v>1</v>
      </c>
    </row>
    <row r="14" spans="1:6" s="36" customFormat="1" x14ac:dyDescent="0.25">
      <c r="A14" s="22"/>
      <c r="B14" s="23"/>
      <c r="C14" s="23" t="s">
        <v>2</v>
      </c>
      <c r="D14" s="23"/>
      <c r="E14" s="111"/>
      <c r="F14"/>
    </row>
    <row r="15" spans="1:6" s="36" customFormat="1" x14ac:dyDescent="0.25">
      <c r="A15" s="25"/>
      <c r="B15" s="6"/>
      <c r="C15" s="6" t="s">
        <v>0</v>
      </c>
      <c r="D15" s="6"/>
      <c r="E15" s="112"/>
      <c r="F15"/>
    </row>
    <row r="16" spans="1:6" s="36" customFormat="1" x14ac:dyDescent="0.25">
      <c r="A16" s="35"/>
    </row>
    <row r="17" spans="1:6" s="36" customFormat="1" x14ac:dyDescent="0.25">
      <c r="A17" s="19">
        <v>4</v>
      </c>
      <c r="B17" s="20" t="s">
        <v>119</v>
      </c>
      <c r="C17" s="21"/>
      <c r="D17" s="21"/>
      <c r="E17" s="27"/>
      <c r="F17">
        <v>1</v>
      </c>
    </row>
    <row r="18" spans="1:6" s="36" customFormat="1" x14ac:dyDescent="0.25">
      <c r="A18" s="22"/>
      <c r="B18" s="23"/>
      <c r="C18" s="23" t="s">
        <v>2</v>
      </c>
      <c r="D18" s="28"/>
      <c r="E18" s="29"/>
      <c r="F18"/>
    </row>
    <row r="19" spans="1:6" s="36" customFormat="1" x14ac:dyDescent="0.25">
      <c r="A19" s="25"/>
      <c r="B19" s="6"/>
      <c r="C19" s="6" t="s">
        <v>0</v>
      </c>
      <c r="D19" s="30"/>
      <c r="E19" s="31"/>
    </row>
    <row r="20" spans="1:6" s="36" customFormat="1" x14ac:dyDescent="0.25">
      <c r="A20" s="35"/>
      <c r="B20" s="38"/>
    </row>
    <row r="21" spans="1:6" s="36" customFormat="1" x14ac:dyDescent="0.25">
      <c r="A21" s="19">
        <v>5</v>
      </c>
      <c r="B21" s="20" t="s">
        <v>82</v>
      </c>
      <c r="C21" s="21"/>
      <c r="D21" s="21"/>
      <c r="E21" s="110" t="s">
        <v>219</v>
      </c>
      <c r="F21">
        <v>2</v>
      </c>
    </row>
    <row r="22" spans="1:6" s="36" customFormat="1" x14ac:dyDescent="0.25">
      <c r="A22" s="22"/>
      <c r="B22" s="23"/>
      <c r="C22" s="23" t="s">
        <v>445</v>
      </c>
      <c r="D22" s="23"/>
      <c r="E22" s="111"/>
      <c r="F22"/>
    </row>
    <row r="23" spans="1:6" s="36" customFormat="1" x14ac:dyDescent="0.25">
      <c r="A23" s="25"/>
      <c r="B23" s="6"/>
      <c r="C23" s="6" t="s">
        <v>120</v>
      </c>
      <c r="D23" s="6"/>
      <c r="E23" s="112"/>
      <c r="F23"/>
    </row>
    <row r="24" spans="1:6" s="36" customFormat="1" x14ac:dyDescent="0.25">
      <c r="A24" s="39"/>
      <c r="B24" s="40"/>
      <c r="C24" s="40"/>
      <c r="D24" s="40"/>
      <c r="E24" s="41"/>
    </row>
    <row r="25" spans="1:6" s="36" customFormat="1" x14ac:dyDescent="0.25">
      <c r="A25" s="19">
        <v>6</v>
      </c>
      <c r="B25" s="20" t="s">
        <v>107</v>
      </c>
      <c r="C25" s="21"/>
      <c r="D25" s="21"/>
      <c r="E25" s="45"/>
      <c r="F25" s="47"/>
    </row>
    <row r="26" spans="1:6" s="36" customFormat="1" ht="18" customHeight="1" x14ac:dyDescent="0.25">
      <c r="A26" s="22"/>
      <c r="B26" s="23"/>
      <c r="C26" s="46" t="s">
        <v>92</v>
      </c>
      <c r="D26" s="23"/>
      <c r="E26" s="43"/>
      <c r="F26" s="48">
        <v>2</v>
      </c>
    </row>
    <row r="27" spans="1:6" s="36" customFormat="1" ht="18" customHeight="1" x14ac:dyDescent="0.25">
      <c r="A27" s="22"/>
      <c r="B27" s="23"/>
      <c r="C27" s="23" t="s">
        <v>131</v>
      </c>
      <c r="D27" s="23"/>
      <c r="E27" s="43"/>
      <c r="F27" s="48">
        <v>1</v>
      </c>
    </row>
    <row r="28" spans="1:6" s="36" customFormat="1" ht="18" customHeight="1" x14ac:dyDescent="0.25">
      <c r="A28" s="22"/>
      <c r="B28" s="23"/>
      <c r="C28" s="23" t="s">
        <v>130</v>
      </c>
      <c r="D28" s="23"/>
      <c r="E28" s="43"/>
      <c r="F28" s="48">
        <v>2</v>
      </c>
    </row>
    <row r="29" spans="1:6" s="36" customFormat="1" ht="18" customHeight="1" x14ac:dyDescent="0.25">
      <c r="A29" s="22"/>
      <c r="B29" s="23"/>
      <c r="C29" s="23" t="s">
        <v>231</v>
      </c>
      <c r="D29" s="23"/>
      <c r="E29" s="43"/>
      <c r="F29" s="48">
        <v>2</v>
      </c>
    </row>
    <row r="30" spans="1:6" s="36" customFormat="1" ht="18" customHeight="1" x14ac:dyDescent="0.25">
      <c r="A30" s="22"/>
      <c r="B30" s="23"/>
      <c r="C30" s="46" t="s">
        <v>93</v>
      </c>
      <c r="D30" s="23"/>
      <c r="E30" s="43"/>
      <c r="F30" s="48">
        <v>2</v>
      </c>
    </row>
    <row r="31" spans="1:6" s="36" customFormat="1" ht="18" customHeight="1" x14ac:dyDescent="0.25">
      <c r="A31" s="22"/>
      <c r="B31" s="23"/>
      <c r="C31" s="46" t="s">
        <v>227</v>
      </c>
      <c r="D31" s="23"/>
      <c r="E31" s="43"/>
      <c r="F31" s="48">
        <v>2</v>
      </c>
    </row>
    <row r="32" spans="1:6" s="36" customFormat="1" ht="18" customHeight="1" x14ac:dyDescent="0.25">
      <c r="A32" s="22"/>
      <c r="B32" s="23"/>
      <c r="C32" s="46" t="s">
        <v>95</v>
      </c>
      <c r="D32" s="23"/>
      <c r="E32" s="43"/>
      <c r="F32" s="48">
        <v>2</v>
      </c>
    </row>
    <row r="33" spans="1:6" s="36" customFormat="1" ht="18" customHeight="1" x14ac:dyDescent="0.25">
      <c r="A33" s="22"/>
      <c r="B33" s="23"/>
      <c r="C33" s="46" t="s">
        <v>96</v>
      </c>
      <c r="D33" s="23"/>
      <c r="E33" s="43"/>
      <c r="F33" s="48">
        <v>2</v>
      </c>
    </row>
    <row r="34" spans="1:6" s="36" customFormat="1" ht="18" customHeight="1" x14ac:dyDescent="0.25">
      <c r="A34" s="22"/>
      <c r="B34" s="23"/>
      <c r="C34" s="46" t="s">
        <v>97</v>
      </c>
      <c r="D34" s="23"/>
      <c r="E34" s="43"/>
      <c r="F34" s="48">
        <v>2</v>
      </c>
    </row>
    <row r="35" spans="1:6" s="36" customFormat="1" ht="18" customHeight="1" x14ac:dyDescent="0.25">
      <c r="A35" s="22"/>
      <c r="B35" s="23"/>
      <c r="C35" s="46" t="s">
        <v>98</v>
      </c>
      <c r="D35" s="23"/>
      <c r="E35" s="43"/>
      <c r="F35" s="48">
        <v>2</v>
      </c>
    </row>
    <row r="36" spans="1:6" s="36" customFormat="1" ht="18" customHeight="1" x14ac:dyDescent="0.25">
      <c r="A36" s="22"/>
      <c r="B36" s="23"/>
      <c r="C36" s="46" t="s">
        <v>99</v>
      </c>
      <c r="D36" s="23"/>
      <c r="E36" s="43"/>
      <c r="F36" s="48">
        <v>2</v>
      </c>
    </row>
    <row r="37" spans="1:6" s="36" customFormat="1" ht="18" customHeight="1" x14ac:dyDescent="0.25">
      <c r="A37" s="22"/>
      <c r="B37" s="23"/>
      <c r="C37" s="46" t="s">
        <v>100</v>
      </c>
      <c r="D37" s="23"/>
      <c r="E37" s="43"/>
      <c r="F37" s="48">
        <v>2</v>
      </c>
    </row>
    <row r="38" spans="1:6" s="36" customFormat="1" ht="18" customHeight="1" x14ac:dyDescent="0.25">
      <c r="A38" s="22"/>
      <c r="B38" s="23"/>
      <c r="C38" s="46" t="s">
        <v>101</v>
      </c>
      <c r="D38" s="23"/>
      <c r="E38" s="43"/>
      <c r="F38" s="48">
        <v>2</v>
      </c>
    </row>
    <row r="39" spans="1:6" s="36" customFormat="1" ht="18" customHeight="1" x14ac:dyDescent="0.25">
      <c r="A39" s="22"/>
      <c r="B39" s="23"/>
      <c r="C39" s="46" t="s">
        <v>102</v>
      </c>
      <c r="D39" s="23"/>
      <c r="E39" s="43"/>
      <c r="F39" s="47">
        <v>2</v>
      </c>
    </row>
    <row r="40" spans="1:6" s="36" customFormat="1" ht="18" customHeight="1" x14ac:dyDescent="0.25">
      <c r="A40" s="22"/>
      <c r="B40" s="23"/>
      <c r="C40" s="46" t="s">
        <v>228</v>
      </c>
      <c r="D40" s="23"/>
      <c r="E40" s="43"/>
      <c r="F40" s="47">
        <v>2</v>
      </c>
    </row>
    <row r="41" spans="1:6" s="36" customFormat="1" ht="18" customHeight="1" x14ac:dyDescent="0.25">
      <c r="A41" s="22"/>
      <c r="B41" s="23"/>
      <c r="C41" s="46" t="s">
        <v>104</v>
      </c>
      <c r="D41" s="23"/>
      <c r="E41" s="43"/>
      <c r="F41" s="47">
        <v>2</v>
      </c>
    </row>
    <row r="42" spans="1:6" s="36" customFormat="1" ht="18" customHeight="1" x14ac:dyDescent="0.25">
      <c r="A42" s="25"/>
      <c r="B42" s="6"/>
      <c r="C42" s="6"/>
      <c r="D42" s="6"/>
      <c r="E42" s="44"/>
      <c r="F42" s="47"/>
    </row>
    <row r="43" spans="1:6" s="36" customFormat="1" ht="18" customHeight="1" x14ac:dyDescent="0.25">
      <c r="A43" s="39"/>
      <c r="B43" s="40"/>
      <c r="C43" s="40"/>
      <c r="D43" s="40"/>
      <c r="E43" s="41"/>
      <c r="F43" s="47"/>
    </row>
    <row r="44" spans="1:6" s="36" customFormat="1" ht="18" customHeight="1" x14ac:dyDescent="0.25">
      <c r="A44" s="19">
        <v>7</v>
      </c>
      <c r="B44" s="20" t="s">
        <v>376</v>
      </c>
      <c r="C44" s="21"/>
      <c r="D44" s="21"/>
      <c r="E44" s="110" t="s">
        <v>393</v>
      </c>
      <c r="F44" s="47">
        <v>1</v>
      </c>
    </row>
    <row r="45" spans="1:6" s="36" customFormat="1" ht="48.75" customHeight="1" x14ac:dyDescent="0.25">
      <c r="A45" s="25"/>
      <c r="B45" s="6"/>
      <c r="C45" s="6"/>
      <c r="D45" s="6"/>
      <c r="E45" s="113"/>
      <c r="F45" s="47"/>
    </row>
    <row r="46" spans="1:6" s="36" customFormat="1" x14ac:dyDescent="0.25">
      <c r="A46" s="35"/>
    </row>
    <row r="47" spans="1:6" s="36" customFormat="1" x14ac:dyDescent="0.25">
      <c r="A47" s="19">
        <v>8</v>
      </c>
      <c r="B47" s="20" t="s">
        <v>122</v>
      </c>
      <c r="C47" s="21"/>
      <c r="D47" s="21"/>
      <c r="E47" s="110" t="s">
        <v>220</v>
      </c>
      <c r="F47">
        <v>20</v>
      </c>
    </row>
    <row r="48" spans="1:6" s="36" customFormat="1" x14ac:dyDescent="0.25">
      <c r="A48" s="25"/>
      <c r="B48" s="6"/>
      <c r="C48" s="6"/>
      <c r="D48" s="6"/>
      <c r="E48" s="112"/>
      <c r="F48"/>
    </row>
    <row r="49" spans="1:6" s="36" customFormat="1" x14ac:dyDescent="0.25">
      <c r="A49" s="39"/>
      <c r="B49" s="40"/>
      <c r="C49" s="40"/>
      <c r="D49" s="40"/>
      <c r="E49" s="41"/>
    </row>
    <row r="50" spans="1:6" s="36" customFormat="1" x14ac:dyDescent="0.25">
      <c r="A50" s="19">
        <v>9</v>
      </c>
      <c r="B50" s="20" t="s">
        <v>204</v>
      </c>
      <c r="C50" s="21"/>
      <c r="D50" s="21"/>
      <c r="E50" s="27"/>
      <c r="F50"/>
    </row>
    <row r="51" spans="1:6" s="36" customFormat="1" x14ac:dyDescent="0.25">
      <c r="A51" s="22"/>
      <c r="B51" s="23"/>
      <c r="C51" s="23" t="s">
        <v>448</v>
      </c>
      <c r="D51" s="23"/>
      <c r="E51" s="106" t="s">
        <v>221</v>
      </c>
      <c r="F51">
        <v>1</v>
      </c>
    </row>
    <row r="52" spans="1:6" s="36" customFormat="1" x14ac:dyDescent="0.25">
      <c r="A52" s="22"/>
      <c r="B52" s="23"/>
      <c r="C52" s="23"/>
      <c r="D52" s="32"/>
      <c r="E52" s="106"/>
      <c r="F52"/>
    </row>
    <row r="53" spans="1:6" s="36" customFormat="1" x14ac:dyDescent="0.25">
      <c r="A53" s="22"/>
      <c r="B53" s="23"/>
      <c r="C53" s="32" t="s">
        <v>233</v>
      </c>
      <c r="D53" s="32"/>
      <c r="E53" s="106"/>
      <c r="F53">
        <v>1</v>
      </c>
    </row>
    <row r="54" spans="1:6" s="36" customFormat="1" x14ac:dyDescent="0.25">
      <c r="A54" s="22"/>
      <c r="B54" s="23"/>
      <c r="C54" s="23"/>
      <c r="D54" s="32"/>
      <c r="E54" s="106"/>
      <c r="F54"/>
    </row>
    <row r="55" spans="1:6" s="36" customFormat="1" x14ac:dyDescent="0.25">
      <c r="A55" s="22"/>
      <c r="B55" s="32"/>
      <c r="C55" s="32" t="s">
        <v>449</v>
      </c>
      <c r="D55" s="23"/>
      <c r="E55" s="106"/>
      <c r="F55">
        <v>1</v>
      </c>
    </row>
    <row r="56" spans="1:6" s="36" customFormat="1" x14ac:dyDescent="0.25">
      <c r="A56" s="22"/>
      <c r="B56" s="32"/>
      <c r="C56" s="23"/>
      <c r="D56" s="23"/>
      <c r="E56" s="106"/>
      <c r="F56"/>
    </row>
    <row r="57" spans="1:6" s="36" customFormat="1" x14ac:dyDescent="0.25">
      <c r="A57" s="22"/>
      <c r="B57" s="32"/>
      <c r="C57" s="32" t="s">
        <v>450</v>
      </c>
      <c r="D57" s="23"/>
      <c r="E57" s="106"/>
      <c r="F57">
        <v>2</v>
      </c>
    </row>
    <row r="58" spans="1:6" s="36" customFormat="1" x14ac:dyDescent="0.25">
      <c r="A58" s="22"/>
      <c r="B58" s="32"/>
      <c r="C58" s="32"/>
      <c r="D58" s="23"/>
      <c r="E58" s="76"/>
      <c r="F58"/>
    </row>
    <row r="59" spans="1:6" s="36" customFormat="1" x14ac:dyDescent="0.25">
      <c r="A59" s="22"/>
      <c r="B59" s="32"/>
      <c r="C59" s="32" t="s">
        <v>383</v>
      </c>
      <c r="D59" s="23"/>
      <c r="E59" s="76"/>
      <c r="F59">
        <v>2</v>
      </c>
    </row>
    <row r="60" spans="1:6" s="36" customFormat="1" x14ac:dyDescent="0.25">
      <c r="A60" s="25"/>
      <c r="B60" s="33"/>
      <c r="C60" s="6"/>
      <c r="D60" s="6"/>
      <c r="E60" s="34"/>
      <c r="F60"/>
    </row>
    <row r="61" spans="1:6" s="36" customFormat="1" x14ac:dyDescent="0.25">
      <c r="A61" s="35"/>
    </row>
    <row r="62" spans="1:6" s="36" customFormat="1" x14ac:dyDescent="0.25">
      <c r="A62" s="35"/>
    </row>
    <row r="63" spans="1:6" s="36" customFormat="1" x14ac:dyDescent="0.25">
      <c r="A63" s="35"/>
    </row>
    <row r="64" spans="1:6" s="36" customFormat="1" x14ac:dyDescent="0.25">
      <c r="A64" s="35"/>
    </row>
    <row r="65" spans="1:5" s="36" customFormat="1" x14ac:dyDescent="0.25">
      <c r="A65" s="35"/>
    </row>
    <row r="66" spans="1:5" s="36" customFormat="1" x14ac:dyDescent="0.25">
      <c r="A66" s="35"/>
    </row>
    <row r="67" spans="1:5" s="36" customFormat="1" x14ac:dyDescent="0.25">
      <c r="A67" s="35"/>
    </row>
    <row r="68" spans="1:5" x14ac:dyDescent="0.25">
      <c r="A68" s="35"/>
      <c r="B68" s="36"/>
      <c r="C68" s="36"/>
      <c r="D68" s="36"/>
      <c r="E68" s="36"/>
    </row>
    <row r="69" spans="1:5" x14ac:dyDescent="0.25">
      <c r="A69" s="35"/>
      <c r="B69" s="36"/>
      <c r="C69" s="36"/>
      <c r="D69" s="36"/>
      <c r="E69" s="36"/>
    </row>
    <row r="70" spans="1:5" x14ac:dyDescent="0.25">
      <c r="A70" s="35"/>
      <c r="B70" s="36"/>
      <c r="C70" s="36"/>
      <c r="D70" s="36"/>
      <c r="E70" s="36"/>
    </row>
    <row r="71" spans="1:5" x14ac:dyDescent="0.25">
      <c r="A71" s="35"/>
      <c r="B71" s="36"/>
      <c r="C71" s="36"/>
      <c r="D71" s="36"/>
      <c r="E71" s="36"/>
    </row>
    <row r="72" spans="1:5" x14ac:dyDescent="0.25">
      <c r="A72" s="35"/>
      <c r="B72" s="36"/>
      <c r="C72" s="36"/>
      <c r="D72" s="36"/>
      <c r="E72" s="36"/>
    </row>
    <row r="73" spans="1:5" x14ac:dyDescent="0.25">
      <c r="A73" s="35"/>
      <c r="B73" s="36"/>
      <c r="C73" s="36"/>
      <c r="D73" s="36"/>
      <c r="E73" s="36"/>
    </row>
    <row r="74" spans="1:5" x14ac:dyDescent="0.25">
      <c r="A74" s="35"/>
      <c r="B74" s="36"/>
      <c r="C74" s="36"/>
      <c r="D74" s="36"/>
      <c r="E74" s="36"/>
    </row>
    <row r="75" spans="1:5" x14ac:dyDescent="0.25">
      <c r="A75" s="35"/>
      <c r="B75" s="36"/>
      <c r="C75" s="36"/>
      <c r="D75" s="36"/>
      <c r="E75" s="36"/>
    </row>
    <row r="76" spans="1:5" x14ac:dyDescent="0.25">
      <c r="A76" s="35"/>
      <c r="B76" s="36"/>
      <c r="C76" s="36"/>
      <c r="D76" s="36"/>
      <c r="E76" s="36"/>
    </row>
    <row r="77" spans="1:5" x14ac:dyDescent="0.25">
      <c r="A77" s="35"/>
      <c r="B77" s="36"/>
      <c r="C77" s="36"/>
      <c r="D77" s="36"/>
      <c r="E77" s="36"/>
    </row>
    <row r="78" spans="1:5" x14ac:dyDescent="0.25">
      <c r="A78" s="35"/>
      <c r="B78" s="36"/>
      <c r="C78" s="36"/>
      <c r="D78" s="36"/>
      <c r="E78" s="36"/>
    </row>
    <row r="79" spans="1:5" x14ac:dyDescent="0.25">
      <c r="A79" s="35"/>
      <c r="B79" s="36"/>
      <c r="C79" s="36"/>
      <c r="D79" s="36"/>
      <c r="E79" s="36"/>
    </row>
    <row r="80" spans="1:5" x14ac:dyDescent="0.25">
      <c r="A80" s="35"/>
      <c r="B80" s="36"/>
      <c r="C80" s="36"/>
      <c r="D80" s="36"/>
      <c r="E80" s="36"/>
    </row>
    <row r="81" spans="1:5" x14ac:dyDescent="0.25">
      <c r="A81" s="35"/>
      <c r="B81" s="36"/>
      <c r="C81" s="36"/>
      <c r="D81" s="36"/>
      <c r="E81" s="36"/>
    </row>
    <row r="82" spans="1:5" x14ac:dyDescent="0.25">
      <c r="A82" s="35"/>
      <c r="B82" s="36"/>
      <c r="C82" s="36"/>
      <c r="D82" s="36"/>
      <c r="E82" s="36"/>
    </row>
    <row r="83" spans="1:5" x14ac:dyDescent="0.25">
      <c r="A83" s="35"/>
      <c r="B83" s="36"/>
      <c r="C83" s="36"/>
      <c r="D83" s="36"/>
      <c r="E83" s="36"/>
    </row>
    <row r="84" spans="1:5" x14ac:dyDescent="0.25">
      <c r="A84" s="35"/>
      <c r="B84" s="36"/>
      <c r="C84" s="36"/>
      <c r="D84" s="36"/>
      <c r="E84" s="36"/>
    </row>
    <row r="85" spans="1:5" x14ac:dyDescent="0.25">
      <c r="A85" s="35"/>
      <c r="B85" s="36"/>
      <c r="C85" s="36"/>
      <c r="D85" s="36"/>
      <c r="E85" s="36"/>
    </row>
    <row r="86" spans="1:5" x14ac:dyDescent="0.25">
      <c r="A86" s="35"/>
      <c r="B86" s="36"/>
      <c r="C86" s="36"/>
      <c r="D86" s="36"/>
      <c r="E86" s="36"/>
    </row>
    <row r="87" spans="1:5" x14ac:dyDescent="0.25">
      <c r="A87" s="35"/>
      <c r="B87" s="36"/>
      <c r="C87" s="36"/>
      <c r="D87" s="36"/>
      <c r="E87" s="36"/>
    </row>
    <row r="88" spans="1:5" x14ac:dyDescent="0.25">
      <c r="A88" s="35"/>
      <c r="B88" s="36"/>
      <c r="C88" s="36"/>
      <c r="D88" s="36"/>
      <c r="E88" s="36"/>
    </row>
    <row r="89" spans="1:5" x14ac:dyDescent="0.25">
      <c r="A89" s="35"/>
      <c r="B89" s="36"/>
      <c r="C89" s="36"/>
      <c r="D89" s="36"/>
      <c r="E89" s="36"/>
    </row>
    <row r="90" spans="1:5" x14ac:dyDescent="0.25">
      <c r="A90" s="35"/>
      <c r="B90" s="36"/>
      <c r="C90" s="36"/>
      <c r="D90" s="36"/>
      <c r="E90" s="36"/>
    </row>
    <row r="91" spans="1:5" x14ac:dyDescent="0.25">
      <c r="A91" s="35"/>
      <c r="B91" s="36"/>
      <c r="C91" s="36"/>
      <c r="D91" s="36"/>
      <c r="E91" s="36"/>
    </row>
    <row r="92" spans="1:5" x14ac:dyDescent="0.25">
      <c r="A92" s="35"/>
      <c r="B92" s="36"/>
      <c r="C92" s="36"/>
      <c r="D92" s="36"/>
      <c r="E92" s="36"/>
    </row>
    <row r="93" spans="1:5" x14ac:dyDescent="0.25">
      <c r="A93" s="35"/>
      <c r="B93" s="36"/>
      <c r="C93" s="36"/>
      <c r="D93" s="36"/>
      <c r="E93" s="36"/>
    </row>
    <row r="94" spans="1:5" x14ac:dyDescent="0.25">
      <c r="A94" s="35"/>
      <c r="B94" s="36"/>
      <c r="C94" s="36"/>
      <c r="D94" s="36"/>
      <c r="E94" s="36"/>
    </row>
    <row r="95" spans="1:5" x14ac:dyDescent="0.25">
      <c r="A95" s="35"/>
      <c r="B95" s="36"/>
      <c r="C95" s="36"/>
      <c r="D95" s="36"/>
      <c r="E95" s="36"/>
    </row>
    <row r="96" spans="1:5" x14ac:dyDescent="0.25">
      <c r="A96" s="35"/>
      <c r="B96" s="36"/>
      <c r="C96" s="36"/>
      <c r="D96" s="36"/>
      <c r="E96" s="36"/>
    </row>
    <row r="97" spans="1:5" x14ac:dyDescent="0.25">
      <c r="A97" s="35"/>
      <c r="B97" s="36"/>
      <c r="C97" s="36"/>
      <c r="D97" s="36"/>
      <c r="E97" s="36"/>
    </row>
    <row r="98" spans="1:5" x14ac:dyDescent="0.25">
      <c r="A98" s="35"/>
      <c r="B98" s="36"/>
      <c r="C98" s="36"/>
      <c r="D98" s="36"/>
      <c r="E98" s="36"/>
    </row>
  </sheetData>
  <mergeCells count="7">
    <mergeCell ref="E51:E57"/>
    <mergeCell ref="E3:E7"/>
    <mergeCell ref="E9:E11"/>
    <mergeCell ref="E13:E15"/>
    <mergeCell ref="E21:E23"/>
    <mergeCell ref="E47:E48"/>
    <mergeCell ref="E44:E4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6802" r:id="rId3" name="Drop Down 2">
              <controlPr defaultSize="0" autoLine="0" autoPict="0">
                <anchor moveWithCells="1">
                  <from>
                    <xdr:col>2</xdr:col>
                    <xdr:colOff>3638550</xdr:colOff>
                    <xdr:row>8</xdr:row>
                    <xdr:rowOff>0</xdr:rowOff>
                  </from>
                  <to>
                    <xdr:col>3</xdr:col>
                    <xdr:colOff>1800225</xdr:colOff>
                    <xdr:row>9</xdr:row>
                    <xdr:rowOff>9525</xdr:rowOff>
                  </to>
                </anchor>
              </controlPr>
            </control>
          </mc:Choice>
        </mc:AlternateContent>
        <mc:AlternateContent xmlns:mc="http://schemas.openxmlformats.org/markup-compatibility/2006">
          <mc:Choice Requires="x14">
            <control shapeId="76803" r:id="rId4" name="Drop Down 3">
              <controlPr defaultSize="0" autoLine="0" autoPict="0">
                <anchor moveWithCells="1">
                  <from>
                    <xdr:col>3</xdr:col>
                    <xdr:colOff>0</xdr:colOff>
                    <xdr:row>12</xdr:row>
                    <xdr:rowOff>38100</xdr:rowOff>
                  </from>
                  <to>
                    <xdr:col>3</xdr:col>
                    <xdr:colOff>1800225</xdr:colOff>
                    <xdr:row>13</xdr:row>
                    <xdr:rowOff>47625</xdr:rowOff>
                  </to>
                </anchor>
              </controlPr>
            </control>
          </mc:Choice>
        </mc:AlternateContent>
        <mc:AlternateContent xmlns:mc="http://schemas.openxmlformats.org/markup-compatibility/2006">
          <mc:Choice Requires="x14">
            <control shapeId="76804" r:id="rId5" name="Drop Down 4">
              <controlPr defaultSize="0" autoLine="0" autoPict="0">
                <anchor moveWithCells="1">
                  <from>
                    <xdr:col>3</xdr:col>
                    <xdr:colOff>0</xdr:colOff>
                    <xdr:row>16</xdr:row>
                    <xdr:rowOff>28575</xdr:rowOff>
                  </from>
                  <to>
                    <xdr:col>3</xdr:col>
                    <xdr:colOff>1800225</xdr:colOff>
                    <xdr:row>17</xdr:row>
                    <xdr:rowOff>38100</xdr:rowOff>
                  </to>
                </anchor>
              </controlPr>
            </control>
          </mc:Choice>
        </mc:AlternateContent>
        <mc:AlternateContent xmlns:mc="http://schemas.openxmlformats.org/markup-compatibility/2006">
          <mc:Choice Requires="x14">
            <control shapeId="76805" r:id="rId6" name="Drop Down 5">
              <controlPr defaultSize="0" autoLine="0" autoPict="0">
                <anchor moveWithCells="1">
                  <from>
                    <xdr:col>3</xdr:col>
                    <xdr:colOff>0</xdr:colOff>
                    <xdr:row>20</xdr:row>
                    <xdr:rowOff>28575</xdr:rowOff>
                  </from>
                  <to>
                    <xdr:col>3</xdr:col>
                    <xdr:colOff>1800225</xdr:colOff>
                    <xdr:row>21</xdr:row>
                    <xdr:rowOff>38100</xdr:rowOff>
                  </to>
                </anchor>
              </controlPr>
            </control>
          </mc:Choice>
        </mc:AlternateContent>
        <mc:AlternateContent xmlns:mc="http://schemas.openxmlformats.org/markup-compatibility/2006">
          <mc:Choice Requires="x14">
            <control shapeId="76806" r:id="rId7" name="Drop Down 6">
              <controlPr defaultSize="0" autoLine="0" autoPict="0">
                <anchor moveWithCells="1">
                  <from>
                    <xdr:col>2</xdr:col>
                    <xdr:colOff>3629025</xdr:colOff>
                    <xdr:row>46</xdr:row>
                    <xdr:rowOff>38100</xdr:rowOff>
                  </from>
                  <to>
                    <xdr:col>3</xdr:col>
                    <xdr:colOff>1781175</xdr:colOff>
                    <xdr:row>47</xdr:row>
                    <xdr:rowOff>47625</xdr:rowOff>
                  </to>
                </anchor>
              </controlPr>
            </control>
          </mc:Choice>
        </mc:AlternateContent>
        <mc:AlternateContent xmlns:mc="http://schemas.openxmlformats.org/markup-compatibility/2006">
          <mc:Choice Requires="x14">
            <control shapeId="76807" r:id="rId8" name="Drop Down 7">
              <controlPr defaultSize="0" autoLine="0" autoPict="0">
                <anchor moveWithCells="1">
                  <from>
                    <xdr:col>3</xdr:col>
                    <xdr:colOff>0</xdr:colOff>
                    <xdr:row>50</xdr:row>
                    <xdr:rowOff>0</xdr:rowOff>
                  </from>
                  <to>
                    <xdr:col>3</xdr:col>
                    <xdr:colOff>1800225</xdr:colOff>
                    <xdr:row>51</xdr:row>
                    <xdr:rowOff>9525</xdr:rowOff>
                  </to>
                </anchor>
              </controlPr>
            </control>
          </mc:Choice>
        </mc:AlternateContent>
        <mc:AlternateContent xmlns:mc="http://schemas.openxmlformats.org/markup-compatibility/2006">
          <mc:Choice Requires="x14">
            <control shapeId="76808" r:id="rId9" name="Drop Down 8">
              <controlPr defaultSize="0" autoLine="0" autoPict="0">
                <anchor moveWithCells="1">
                  <from>
                    <xdr:col>3</xdr:col>
                    <xdr:colOff>9525</xdr:colOff>
                    <xdr:row>52</xdr:row>
                    <xdr:rowOff>0</xdr:rowOff>
                  </from>
                  <to>
                    <xdr:col>3</xdr:col>
                    <xdr:colOff>1809750</xdr:colOff>
                    <xdr:row>53</xdr:row>
                    <xdr:rowOff>9525</xdr:rowOff>
                  </to>
                </anchor>
              </controlPr>
            </control>
          </mc:Choice>
        </mc:AlternateContent>
        <mc:AlternateContent xmlns:mc="http://schemas.openxmlformats.org/markup-compatibility/2006">
          <mc:Choice Requires="x14">
            <control shapeId="76809" r:id="rId10" name="Drop Down 9">
              <controlPr defaultSize="0" autoLine="0" autoPict="0">
                <anchor moveWithCells="1">
                  <from>
                    <xdr:col>3</xdr:col>
                    <xdr:colOff>0</xdr:colOff>
                    <xdr:row>53</xdr:row>
                    <xdr:rowOff>180975</xdr:rowOff>
                  </from>
                  <to>
                    <xdr:col>3</xdr:col>
                    <xdr:colOff>1800225</xdr:colOff>
                    <xdr:row>55</xdr:row>
                    <xdr:rowOff>0</xdr:rowOff>
                  </to>
                </anchor>
              </controlPr>
            </control>
          </mc:Choice>
        </mc:AlternateContent>
        <mc:AlternateContent xmlns:mc="http://schemas.openxmlformats.org/markup-compatibility/2006">
          <mc:Choice Requires="x14">
            <control shapeId="76810" r:id="rId11" name="Drop Down 10">
              <controlPr defaultSize="0" autoLine="0" autoPict="0">
                <anchor moveWithCells="1">
                  <from>
                    <xdr:col>3</xdr:col>
                    <xdr:colOff>0</xdr:colOff>
                    <xdr:row>56</xdr:row>
                    <xdr:rowOff>0</xdr:rowOff>
                  </from>
                  <to>
                    <xdr:col>3</xdr:col>
                    <xdr:colOff>1800225</xdr:colOff>
                    <xdr:row>57</xdr:row>
                    <xdr:rowOff>9525</xdr:rowOff>
                  </to>
                </anchor>
              </controlPr>
            </control>
          </mc:Choice>
        </mc:AlternateContent>
        <mc:AlternateContent xmlns:mc="http://schemas.openxmlformats.org/markup-compatibility/2006">
          <mc:Choice Requires="x14">
            <control shapeId="76811" r:id="rId12" name="Drop Down 11">
              <controlPr defaultSize="0" autoLine="0" autoPict="0">
                <anchor moveWithCells="1">
                  <from>
                    <xdr:col>2</xdr:col>
                    <xdr:colOff>3638550</xdr:colOff>
                    <xdr:row>2</xdr:row>
                    <xdr:rowOff>57150</xdr:rowOff>
                  </from>
                  <to>
                    <xdr:col>3</xdr:col>
                    <xdr:colOff>1800225</xdr:colOff>
                    <xdr:row>3</xdr:row>
                    <xdr:rowOff>66675</xdr:rowOff>
                  </to>
                </anchor>
              </controlPr>
            </control>
          </mc:Choice>
        </mc:AlternateContent>
        <mc:AlternateContent xmlns:mc="http://schemas.openxmlformats.org/markup-compatibility/2006">
          <mc:Choice Requires="x14">
            <control shapeId="76812" r:id="rId13" name="Drop Down 12">
              <controlPr defaultSize="0" autoLine="0" autoPict="0">
                <anchor moveWithCells="1">
                  <from>
                    <xdr:col>3</xdr:col>
                    <xdr:colOff>0</xdr:colOff>
                    <xdr:row>25</xdr:row>
                    <xdr:rowOff>0</xdr:rowOff>
                  </from>
                  <to>
                    <xdr:col>3</xdr:col>
                    <xdr:colOff>1800225</xdr:colOff>
                    <xdr:row>25</xdr:row>
                    <xdr:rowOff>200025</xdr:rowOff>
                  </to>
                </anchor>
              </controlPr>
            </control>
          </mc:Choice>
        </mc:AlternateContent>
        <mc:AlternateContent xmlns:mc="http://schemas.openxmlformats.org/markup-compatibility/2006">
          <mc:Choice Requires="x14">
            <control shapeId="76813" r:id="rId14" name="Drop Down 13">
              <controlPr defaultSize="0" autoLine="0" autoPict="0">
                <anchor moveWithCells="1">
                  <from>
                    <xdr:col>3</xdr:col>
                    <xdr:colOff>0</xdr:colOff>
                    <xdr:row>26</xdr:row>
                    <xdr:rowOff>0</xdr:rowOff>
                  </from>
                  <to>
                    <xdr:col>3</xdr:col>
                    <xdr:colOff>1800225</xdr:colOff>
                    <xdr:row>26</xdr:row>
                    <xdr:rowOff>200025</xdr:rowOff>
                  </to>
                </anchor>
              </controlPr>
            </control>
          </mc:Choice>
        </mc:AlternateContent>
        <mc:AlternateContent xmlns:mc="http://schemas.openxmlformats.org/markup-compatibility/2006">
          <mc:Choice Requires="x14">
            <control shapeId="76814" r:id="rId15" name="Drop Down 14">
              <controlPr defaultSize="0" autoLine="0" autoPict="0">
                <anchor moveWithCells="1">
                  <from>
                    <xdr:col>3</xdr:col>
                    <xdr:colOff>0</xdr:colOff>
                    <xdr:row>27</xdr:row>
                    <xdr:rowOff>0</xdr:rowOff>
                  </from>
                  <to>
                    <xdr:col>3</xdr:col>
                    <xdr:colOff>1800225</xdr:colOff>
                    <xdr:row>27</xdr:row>
                    <xdr:rowOff>200025</xdr:rowOff>
                  </to>
                </anchor>
              </controlPr>
            </control>
          </mc:Choice>
        </mc:AlternateContent>
        <mc:AlternateContent xmlns:mc="http://schemas.openxmlformats.org/markup-compatibility/2006">
          <mc:Choice Requires="x14">
            <control shapeId="76815" r:id="rId16" name="Drop Down 15">
              <controlPr defaultSize="0" autoLine="0" autoPict="0">
                <anchor moveWithCells="1">
                  <from>
                    <xdr:col>3</xdr:col>
                    <xdr:colOff>0</xdr:colOff>
                    <xdr:row>27</xdr:row>
                    <xdr:rowOff>219075</xdr:rowOff>
                  </from>
                  <to>
                    <xdr:col>3</xdr:col>
                    <xdr:colOff>1800225</xdr:colOff>
                    <xdr:row>28</xdr:row>
                    <xdr:rowOff>190500</xdr:rowOff>
                  </to>
                </anchor>
              </controlPr>
            </control>
          </mc:Choice>
        </mc:AlternateContent>
        <mc:AlternateContent xmlns:mc="http://schemas.openxmlformats.org/markup-compatibility/2006">
          <mc:Choice Requires="x14">
            <control shapeId="76816" r:id="rId17" name="Drop Down 16">
              <controlPr defaultSize="0" autoLine="0" autoPict="0">
                <anchor moveWithCells="1">
                  <from>
                    <xdr:col>3</xdr:col>
                    <xdr:colOff>0</xdr:colOff>
                    <xdr:row>28</xdr:row>
                    <xdr:rowOff>219075</xdr:rowOff>
                  </from>
                  <to>
                    <xdr:col>3</xdr:col>
                    <xdr:colOff>1800225</xdr:colOff>
                    <xdr:row>29</xdr:row>
                    <xdr:rowOff>190500</xdr:rowOff>
                  </to>
                </anchor>
              </controlPr>
            </control>
          </mc:Choice>
        </mc:AlternateContent>
        <mc:AlternateContent xmlns:mc="http://schemas.openxmlformats.org/markup-compatibility/2006">
          <mc:Choice Requires="x14">
            <control shapeId="76817" r:id="rId18" name="Drop Down 17">
              <controlPr defaultSize="0" autoLine="0" autoPict="0">
                <anchor moveWithCells="1">
                  <from>
                    <xdr:col>3</xdr:col>
                    <xdr:colOff>0</xdr:colOff>
                    <xdr:row>29</xdr:row>
                    <xdr:rowOff>219075</xdr:rowOff>
                  </from>
                  <to>
                    <xdr:col>3</xdr:col>
                    <xdr:colOff>1800225</xdr:colOff>
                    <xdr:row>30</xdr:row>
                    <xdr:rowOff>190500</xdr:rowOff>
                  </to>
                </anchor>
              </controlPr>
            </control>
          </mc:Choice>
        </mc:AlternateContent>
        <mc:AlternateContent xmlns:mc="http://schemas.openxmlformats.org/markup-compatibility/2006">
          <mc:Choice Requires="x14">
            <control shapeId="76818" r:id="rId19" name="Drop Down 18">
              <controlPr defaultSize="0" autoLine="0" autoPict="0">
                <anchor moveWithCells="1">
                  <from>
                    <xdr:col>3</xdr:col>
                    <xdr:colOff>0</xdr:colOff>
                    <xdr:row>30</xdr:row>
                    <xdr:rowOff>219075</xdr:rowOff>
                  </from>
                  <to>
                    <xdr:col>3</xdr:col>
                    <xdr:colOff>1800225</xdr:colOff>
                    <xdr:row>31</xdr:row>
                    <xdr:rowOff>190500</xdr:rowOff>
                  </to>
                </anchor>
              </controlPr>
            </control>
          </mc:Choice>
        </mc:AlternateContent>
        <mc:AlternateContent xmlns:mc="http://schemas.openxmlformats.org/markup-compatibility/2006">
          <mc:Choice Requires="x14">
            <control shapeId="76819" r:id="rId20" name="Drop Down 19">
              <controlPr defaultSize="0" autoLine="0" autoPict="0">
                <anchor moveWithCells="1">
                  <from>
                    <xdr:col>3</xdr:col>
                    <xdr:colOff>0</xdr:colOff>
                    <xdr:row>32</xdr:row>
                    <xdr:rowOff>0</xdr:rowOff>
                  </from>
                  <to>
                    <xdr:col>3</xdr:col>
                    <xdr:colOff>1800225</xdr:colOff>
                    <xdr:row>32</xdr:row>
                    <xdr:rowOff>200025</xdr:rowOff>
                  </to>
                </anchor>
              </controlPr>
            </control>
          </mc:Choice>
        </mc:AlternateContent>
        <mc:AlternateContent xmlns:mc="http://schemas.openxmlformats.org/markup-compatibility/2006">
          <mc:Choice Requires="x14">
            <control shapeId="76820" r:id="rId21" name="Drop Down 20">
              <controlPr defaultSize="0" autoLine="0" autoPict="0">
                <anchor moveWithCells="1">
                  <from>
                    <xdr:col>3</xdr:col>
                    <xdr:colOff>0</xdr:colOff>
                    <xdr:row>33</xdr:row>
                    <xdr:rowOff>9525</xdr:rowOff>
                  </from>
                  <to>
                    <xdr:col>3</xdr:col>
                    <xdr:colOff>1800225</xdr:colOff>
                    <xdr:row>33</xdr:row>
                    <xdr:rowOff>209550</xdr:rowOff>
                  </to>
                </anchor>
              </controlPr>
            </control>
          </mc:Choice>
        </mc:AlternateContent>
        <mc:AlternateContent xmlns:mc="http://schemas.openxmlformats.org/markup-compatibility/2006">
          <mc:Choice Requires="x14">
            <control shapeId="76821" r:id="rId22" name="Drop Down 21">
              <controlPr defaultSize="0" autoLine="0" autoPict="0">
                <anchor moveWithCells="1">
                  <from>
                    <xdr:col>3</xdr:col>
                    <xdr:colOff>0</xdr:colOff>
                    <xdr:row>34</xdr:row>
                    <xdr:rowOff>0</xdr:rowOff>
                  </from>
                  <to>
                    <xdr:col>3</xdr:col>
                    <xdr:colOff>1800225</xdr:colOff>
                    <xdr:row>34</xdr:row>
                    <xdr:rowOff>200025</xdr:rowOff>
                  </to>
                </anchor>
              </controlPr>
            </control>
          </mc:Choice>
        </mc:AlternateContent>
        <mc:AlternateContent xmlns:mc="http://schemas.openxmlformats.org/markup-compatibility/2006">
          <mc:Choice Requires="x14">
            <control shapeId="76822" r:id="rId23" name="Drop Down 22">
              <controlPr defaultSize="0" autoLine="0" autoPict="0">
                <anchor moveWithCells="1">
                  <from>
                    <xdr:col>3</xdr:col>
                    <xdr:colOff>0</xdr:colOff>
                    <xdr:row>35</xdr:row>
                    <xdr:rowOff>0</xdr:rowOff>
                  </from>
                  <to>
                    <xdr:col>3</xdr:col>
                    <xdr:colOff>1800225</xdr:colOff>
                    <xdr:row>35</xdr:row>
                    <xdr:rowOff>200025</xdr:rowOff>
                  </to>
                </anchor>
              </controlPr>
            </control>
          </mc:Choice>
        </mc:AlternateContent>
        <mc:AlternateContent xmlns:mc="http://schemas.openxmlformats.org/markup-compatibility/2006">
          <mc:Choice Requires="x14">
            <control shapeId="76823" r:id="rId24" name="Drop Down 23">
              <controlPr defaultSize="0" autoLine="0" autoPict="0">
                <anchor moveWithCells="1">
                  <from>
                    <xdr:col>3</xdr:col>
                    <xdr:colOff>0</xdr:colOff>
                    <xdr:row>37</xdr:row>
                    <xdr:rowOff>0</xdr:rowOff>
                  </from>
                  <to>
                    <xdr:col>3</xdr:col>
                    <xdr:colOff>1800225</xdr:colOff>
                    <xdr:row>37</xdr:row>
                    <xdr:rowOff>200025</xdr:rowOff>
                  </to>
                </anchor>
              </controlPr>
            </control>
          </mc:Choice>
        </mc:AlternateContent>
        <mc:AlternateContent xmlns:mc="http://schemas.openxmlformats.org/markup-compatibility/2006">
          <mc:Choice Requires="x14">
            <control shapeId="76824" r:id="rId25" name="Drop Down 24">
              <controlPr defaultSize="0" autoLine="0" autoPict="0">
                <anchor moveWithCells="1">
                  <from>
                    <xdr:col>3</xdr:col>
                    <xdr:colOff>0</xdr:colOff>
                    <xdr:row>36</xdr:row>
                    <xdr:rowOff>9525</xdr:rowOff>
                  </from>
                  <to>
                    <xdr:col>3</xdr:col>
                    <xdr:colOff>1800225</xdr:colOff>
                    <xdr:row>36</xdr:row>
                    <xdr:rowOff>200025</xdr:rowOff>
                  </to>
                </anchor>
              </controlPr>
            </control>
          </mc:Choice>
        </mc:AlternateContent>
        <mc:AlternateContent xmlns:mc="http://schemas.openxmlformats.org/markup-compatibility/2006">
          <mc:Choice Requires="x14">
            <control shapeId="76825" r:id="rId26" name="Drop Down 25">
              <controlPr defaultSize="0" autoLine="0" autoPict="0">
                <anchor moveWithCells="1">
                  <from>
                    <xdr:col>3</xdr:col>
                    <xdr:colOff>0</xdr:colOff>
                    <xdr:row>38</xdr:row>
                    <xdr:rowOff>0</xdr:rowOff>
                  </from>
                  <to>
                    <xdr:col>3</xdr:col>
                    <xdr:colOff>1800225</xdr:colOff>
                    <xdr:row>38</xdr:row>
                    <xdr:rowOff>209550</xdr:rowOff>
                  </to>
                </anchor>
              </controlPr>
            </control>
          </mc:Choice>
        </mc:AlternateContent>
        <mc:AlternateContent xmlns:mc="http://schemas.openxmlformats.org/markup-compatibility/2006">
          <mc:Choice Requires="x14">
            <control shapeId="76826" r:id="rId27" name="Drop Down 26">
              <controlPr defaultSize="0" autoLine="0" autoPict="0">
                <anchor moveWithCells="1">
                  <from>
                    <xdr:col>3</xdr:col>
                    <xdr:colOff>0</xdr:colOff>
                    <xdr:row>39</xdr:row>
                    <xdr:rowOff>0</xdr:rowOff>
                  </from>
                  <to>
                    <xdr:col>3</xdr:col>
                    <xdr:colOff>1800225</xdr:colOff>
                    <xdr:row>39</xdr:row>
                    <xdr:rowOff>209550</xdr:rowOff>
                  </to>
                </anchor>
              </controlPr>
            </control>
          </mc:Choice>
        </mc:AlternateContent>
        <mc:AlternateContent xmlns:mc="http://schemas.openxmlformats.org/markup-compatibility/2006">
          <mc:Choice Requires="x14">
            <control shapeId="76827" r:id="rId28" name="Drop Down 27">
              <controlPr defaultSize="0" autoLine="0" autoPict="0">
                <anchor moveWithCells="1">
                  <from>
                    <xdr:col>3</xdr:col>
                    <xdr:colOff>0</xdr:colOff>
                    <xdr:row>40</xdr:row>
                    <xdr:rowOff>0</xdr:rowOff>
                  </from>
                  <to>
                    <xdr:col>3</xdr:col>
                    <xdr:colOff>1800225</xdr:colOff>
                    <xdr:row>40</xdr:row>
                    <xdr:rowOff>200025</xdr:rowOff>
                  </to>
                </anchor>
              </controlPr>
            </control>
          </mc:Choice>
        </mc:AlternateContent>
        <mc:AlternateContent xmlns:mc="http://schemas.openxmlformats.org/markup-compatibility/2006">
          <mc:Choice Requires="x14">
            <control shapeId="76828" r:id="rId29" name="Drop Down 28">
              <controlPr defaultSize="0" autoLine="0" autoPict="0">
                <anchor moveWithCells="1">
                  <from>
                    <xdr:col>3</xdr:col>
                    <xdr:colOff>9525</xdr:colOff>
                    <xdr:row>43</xdr:row>
                    <xdr:rowOff>38100</xdr:rowOff>
                  </from>
                  <to>
                    <xdr:col>3</xdr:col>
                    <xdr:colOff>1809750</xdr:colOff>
                    <xdr:row>44</xdr:row>
                    <xdr:rowOff>9525</xdr:rowOff>
                  </to>
                </anchor>
              </controlPr>
            </control>
          </mc:Choice>
        </mc:AlternateContent>
        <mc:AlternateContent xmlns:mc="http://schemas.openxmlformats.org/markup-compatibility/2006">
          <mc:Choice Requires="x14">
            <control shapeId="76829" r:id="rId30" name="Drop Down 29">
              <controlPr defaultSize="0" autoLine="0" autoPict="0">
                <anchor moveWithCells="1">
                  <from>
                    <xdr:col>3</xdr:col>
                    <xdr:colOff>0</xdr:colOff>
                    <xdr:row>58</xdr:row>
                    <xdr:rowOff>0</xdr:rowOff>
                  </from>
                  <to>
                    <xdr:col>3</xdr:col>
                    <xdr:colOff>1800225</xdr:colOff>
                    <xdr:row>59</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09D42-468A-4BB5-BA8D-C4A7148EBD96}">
  <sheetPr>
    <tabColor theme="6" tint="0.59999389629810485"/>
  </sheetPr>
  <dimension ref="A1:P85"/>
  <sheetViews>
    <sheetView showGridLines="0" zoomScale="115" zoomScaleNormal="115" workbookViewId="0">
      <pane ySplit="1" topLeftCell="A2" activePane="bottomLeft" state="frozen"/>
      <selection activeCell="C23" sqref="C23"/>
      <selection pane="bottomLeft" activeCell="C22" sqref="C22"/>
    </sheetView>
  </sheetViews>
  <sheetFormatPr defaultRowHeight="15" x14ac:dyDescent="0.25"/>
  <cols>
    <col min="1" max="1" width="5.5703125" style="1" customWidth="1"/>
    <col min="2" max="2" width="3.85546875" customWidth="1"/>
    <col min="3" max="3" width="54.7109375" customWidth="1"/>
    <col min="4" max="4" width="36.42578125" customWidth="1"/>
    <col min="5" max="5" width="51.140625" customWidth="1"/>
    <col min="6" max="6" width="15.140625" hidden="1" customWidth="1"/>
    <col min="7" max="16" width="9.140625" style="36"/>
  </cols>
  <sheetData>
    <row r="1" spans="1:6" x14ac:dyDescent="0.25">
      <c r="A1" s="35" t="s">
        <v>242</v>
      </c>
      <c r="B1" s="36"/>
      <c r="C1" s="36"/>
      <c r="D1" s="36"/>
      <c r="E1" s="90" t="str">
        <f>"Risk Ranking - "&amp;ROUND('Loss Cont Pre Score'!B24,1)</f>
        <v>Risk Ranking - 23.7</v>
      </c>
      <c r="F1" s="36"/>
    </row>
    <row r="2" spans="1:6" x14ac:dyDescent="0.25">
      <c r="A2" s="35"/>
      <c r="B2" s="36"/>
      <c r="C2" s="36"/>
      <c r="D2" s="36"/>
      <c r="E2" s="37" t="s">
        <v>216</v>
      </c>
      <c r="F2" s="36"/>
    </row>
    <row r="3" spans="1:6" x14ac:dyDescent="0.25">
      <c r="A3" s="19">
        <v>1</v>
      </c>
      <c r="B3" s="20" t="s">
        <v>239</v>
      </c>
      <c r="C3" s="21"/>
      <c r="D3" s="21"/>
      <c r="E3" s="114" t="s">
        <v>246</v>
      </c>
      <c r="F3">
        <v>1</v>
      </c>
    </row>
    <row r="4" spans="1:6" x14ac:dyDescent="0.25">
      <c r="A4" s="22"/>
      <c r="B4" s="23"/>
      <c r="C4" s="24" t="s">
        <v>84</v>
      </c>
      <c r="D4" s="24"/>
      <c r="E4" s="115"/>
    </row>
    <row r="5" spans="1:6" x14ac:dyDescent="0.25">
      <c r="A5" s="22"/>
      <c r="B5" s="23"/>
      <c r="C5" s="24" t="s">
        <v>85</v>
      </c>
      <c r="D5" s="24"/>
      <c r="E5" s="115"/>
    </row>
    <row r="6" spans="1:6" x14ac:dyDescent="0.25">
      <c r="A6" s="22"/>
      <c r="B6" s="23"/>
      <c r="C6" s="24" t="s">
        <v>89</v>
      </c>
      <c r="D6" s="24"/>
      <c r="E6" s="115"/>
    </row>
    <row r="7" spans="1:6" x14ac:dyDescent="0.25">
      <c r="A7" s="25"/>
      <c r="B7" s="6"/>
      <c r="C7" s="26" t="s">
        <v>83</v>
      </c>
      <c r="D7" s="26"/>
      <c r="E7" s="116"/>
    </row>
    <row r="8" spans="1:6" s="36" customFormat="1" x14ac:dyDescent="0.25">
      <c r="A8" s="35"/>
    </row>
    <row r="9" spans="1:6" s="36" customFormat="1" x14ac:dyDescent="0.25">
      <c r="A9" s="19">
        <v>2</v>
      </c>
      <c r="B9" s="20" t="s">
        <v>240</v>
      </c>
      <c r="C9" s="21"/>
      <c r="D9" s="21"/>
      <c r="E9" s="107" t="s">
        <v>241</v>
      </c>
      <c r="F9">
        <v>1</v>
      </c>
    </row>
    <row r="10" spans="1:6" s="36" customFormat="1" x14ac:dyDescent="0.25">
      <c r="A10" s="22"/>
      <c r="B10" s="23"/>
      <c r="C10" s="7" t="s">
        <v>142</v>
      </c>
      <c r="D10" s="24"/>
      <c r="E10" s="108"/>
      <c r="F10"/>
    </row>
    <row r="11" spans="1:6" s="36" customFormat="1" x14ac:dyDescent="0.25">
      <c r="A11" s="22"/>
      <c r="B11" s="23"/>
      <c r="C11" s="7" t="s">
        <v>140</v>
      </c>
      <c r="D11" s="24"/>
      <c r="E11" s="108"/>
      <c r="F11"/>
    </row>
    <row r="12" spans="1:6" s="36" customFormat="1" x14ac:dyDescent="0.25">
      <c r="A12" s="22"/>
      <c r="B12" s="23"/>
      <c r="C12" s="7" t="s">
        <v>141</v>
      </c>
      <c r="D12" s="24"/>
      <c r="E12" s="108"/>
      <c r="F12"/>
    </row>
    <row r="13" spans="1:6" s="36" customFormat="1" x14ac:dyDescent="0.25">
      <c r="A13" s="25"/>
      <c r="B13" s="6"/>
      <c r="C13" s="26" t="s">
        <v>139</v>
      </c>
      <c r="D13" s="26"/>
      <c r="E13" s="109"/>
      <c r="F13"/>
    </row>
    <row r="14" spans="1:6" s="36" customFormat="1" x14ac:dyDescent="0.25">
      <c r="A14" s="35"/>
    </row>
    <row r="15" spans="1:6" s="36" customFormat="1" ht="15" customHeight="1" x14ac:dyDescent="0.25">
      <c r="A15" s="19">
        <v>3</v>
      </c>
      <c r="B15" s="20" t="s">
        <v>86</v>
      </c>
      <c r="C15" s="21"/>
      <c r="D15" s="21"/>
      <c r="E15" s="110" t="s">
        <v>217</v>
      </c>
      <c r="F15">
        <v>1</v>
      </c>
    </row>
    <row r="16" spans="1:6" s="36" customFormat="1" x14ac:dyDescent="0.25">
      <c r="A16" s="22"/>
      <c r="B16" s="23"/>
      <c r="C16" s="23" t="s">
        <v>2</v>
      </c>
      <c r="D16" s="23"/>
      <c r="E16" s="111"/>
      <c r="F16"/>
    </row>
    <row r="17" spans="1:6" s="36" customFormat="1" x14ac:dyDescent="0.25">
      <c r="A17" s="25"/>
      <c r="B17" s="6"/>
      <c r="C17" s="6" t="s">
        <v>0</v>
      </c>
      <c r="D17" s="6"/>
      <c r="E17" s="112"/>
      <c r="F17"/>
    </row>
    <row r="18" spans="1:6" s="36" customFormat="1" x14ac:dyDescent="0.25">
      <c r="A18" s="35"/>
    </row>
    <row r="19" spans="1:6" s="36" customFormat="1" x14ac:dyDescent="0.25">
      <c r="A19" s="19">
        <v>4</v>
      </c>
      <c r="B19" s="20" t="s">
        <v>223</v>
      </c>
      <c r="C19" s="21"/>
      <c r="D19" s="21"/>
      <c r="E19" s="110" t="s">
        <v>218</v>
      </c>
      <c r="F19">
        <v>1</v>
      </c>
    </row>
    <row r="20" spans="1:6" s="36" customFormat="1" x14ac:dyDescent="0.25">
      <c r="A20" s="22"/>
      <c r="B20" s="23"/>
      <c r="C20" s="23" t="s">
        <v>2</v>
      </c>
      <c r="D20" s="23"/>
      <c r="E20" s="111"/>
      <c r="F20"/>
    </row>
    <row r="21" spans="1:6" s="36" customFormat="1" x14ac:dyDescent="0.25">
      <c r="A21" s="25"/>
      <c r="B21" s="6"/>
      <c r="C21" s="6" t="s">
        <v>0</v>
      </c>
      <c r="D21" s="6"/>
      <c r="E21" s="112"/>
      <c r="F21"/>
    </row>
    <row r="22" spans="1:6" s="36" customFormat="1" x14ac:dyDescent="0.25">
      <c r="A22" s="35"/>
    </row>
    <row r="23" spans="1:6" s="36" customFormat="1" x14ac:dyDescent="0.25">
      <c r="A23" s="19">
        <v>5</v>
      </c>
      <c r="B23" s="20" t="s">
        <v>119</v>
      </c>
      <c r="C23" s="21"/>
      <c r="D23" s="21"/>
      <c r="E23" s="27"/>
      <c r="F23">
        <v>1</v>
      </c>
    </row>
    <row r="24" spans="1:6" s="36" customFormat="1" x14ac:dyDescent="0.25">
      <c r="A24" s="22"/>
      <c r="B24" s="23"/>
      <c r="C24" s="23" t="s">
        <v>2</v>
      </c>
      <c r="D24" s="28"/>
      <c r="E24" s="29"/>
      <c r="F24"/>
    </row>
    <row r="25" spans="1:6" s="36" customFormat="1" x14ac:dyDescent="0.25">
      <c r="A25" s="25"/>
      <c r="B25" s="6"/>
      <c r="C25" s="6" t="s">
        <v>0</v>
      </c>
      <c r="D25" s="30"/>
      <c r="E25" s="31"/>
    </row>
    <row r="26" spans="1:6" s="36" customFormat="1" x14ac:dyDescent="0.25">
      <c r="A26" s="35"/>
      <c r="B26" s="38"/>
    </row>
    <row r="27" spans="1:6" s="36" customFormat="1" x14ac:dyDescent="0.25">
      <c r="A27" s="19">
        <v>6</v>
      </c>
      <c r="B27" s="20" t="s">
        <v>82</v>
      </c>
      <c r="C27" s="21"/>
      <c r="D27" s="21"/>
      <c r="E27" s="110" t="s">
        <v>219</v>
      </c>
      <c r="F27">
        <v>2</v>
      </c>
    </row>
    <row r="28" spans="1:6" s="36" customFormat="1" x14ac:dyDescent="0.25">
      <c r="A28" s="22"/>
      <c r="B28" s="23"/>
      <c r="C28" s="23" t="s">
        <v>445</v>
      </c>
      <c r="D28" s="23"/>
      <c r="E28" s="111"/>
      <c r="F28"/>
    </row>
    <row r="29" spans="1:6" s="36" customFormat="1" x14ac:dyDescent="0.25">
      <c r="A29" s="25"/>
      <c r="B29" s="6"/>
      <c r="C29" s="6" t="s">
        <v>120</v>
      </c>
      <c r="D29" s="6"/>
      <c r="E29" s="112"/>
      <c r="F29"/>
    </row>
    <row r="30" spans="1:6" s="36" customFormat="1" x14ac:dyDescent="0.25">
      <c r="A30" s="35"/>
    </row>
    <row r="31" spans="1:6" s="36" customFormat="1" x14ac:dyDescent="0.25">
      <c r="A31" s="19">
        <v>7</v>
      </c>
      <c r="B31" s="20" t="s">
        <v>122</v>
      </c>
      <c r="C31" s="21"/>
      <c r="D31" s="21"/>
      <c r="E31" s="110" t="s">
        <v>220</v>
      </c>
      <c r="F31">
        <v>20</v>
      </c>
    </row>
    <row r="32" spans="1:6" s="36" customFormat="1" x14ac:dyDescent="0.25">
      <c r="A32" s="25"/>
      <c r="B32" s="6"/>
      <c r="C32" s="6"/>
      <c r="D32" s="6"/>
      <c r="E32" s="112"/>
      <c r="F32"/>
    </row>
    <row r="33" spans="1:6" s="36" customFormat="1" x14ac:dyDescent="0.25">
      <c r="A33" s="39"/>
      <c r="B33" s="40"/>
      <c r="C33" s="40"/>
      <c r="D33" s="40"/>
      <c r="E33" s="41"/>
    </row>
    <row r="34" spans="1:6" s="36" customFormat="1" ht="15" customHeight="1" x14ac:dyDescent="0.25">
      <c r="A34" s="19">
        <v>8</v>
      </c>
      <c r="B34" s="20" t="s">
        <v>376</v>
      </c>
      <c r="C34" s="21"/>
      <c r="D34" s="21"/>
      <c r="E34" s="110" t="s">
        <v>393</v>
      </c>
    </row>
    <row r="35" spans="1:6" s="36" customFormat="1" ht="52.5" customHeight="1" x14ac:dyDescent="0.25">
      <c r="A35" s="25"/>
      <c r="B35" s="6"/>
      <c r="C35" s="6"/>
      <c r="D35" s="6"/>
      <c r="E35" s="113"/>
    </row>
    <row r="36" spans="1:6" s="36" customFormat="1" x14ac:dyDescent="0.25">
      <c r="A36" s="39"/>
      <c r="B36" s="40"/>
      <c r="C36" s="40"/>
      <c r="D36" s="40"/>
      <c r="E36" s="41"/>
    </row>
    <row r="37" spans="1:6" s="36" customFormat="1" x14ac:dyDescent="0.25">
      <c r="A37" s="19">
        <v>9</v>
      </c>
      <c r="B37" s="20" t="s">
        <v>204</v>
      </c>
      <c r="C37" s="21"/>
      <c r="D37" s="21"/>
      <c r="E37" s="27"/>
      <c r="F37"/>
    </row>
    <row r="38" spans="1:6" s="36" customFormat="1" x14ac:dyDescent="0.25">
      <c r="A38" s="22"/>
      <c r="B38" s="23"/>
      <c r="C38" s="23" t="s">
        <v>448</v>
      </c>
      <c r="D38" s="23"/>
      <c r="E38" s="106" t="s">
        <v>221</v>
      </c>
      <c r="F38">
        <v>1</v>
      </c>
    </row>
    <row r="39" spans="1:6" s="36" customFormat="1" x14ac:dyDescent="0.25">
      <c r="A39" s="22"/>
      <c r="B39" s="23"/>
      <c r="C39" s="23"/>
      <c r="D39" s="32"/>
      <c r="E39" s="106"/>
      <c r="F39"/>
    </row>
    <row r="40" spans="1:6" s="36" customFormat="1" x14ac:dyDescent="0.25">
      <c r="A40" s="22"/>
      <c r="B40" s="23"/>
      <c r="C40" s="32" t="s">
        <v>453</v>
      </c>
      <c r="D40" s="32"/>
      <c r="E40" s="106"/>
      <c r="F40">
        <v>1</v>
      </c>
    </row>
    <row r="41" spans="1:6" s="36" customFormat="1" x14ac:dyDescent="0.25">
      <c r="A41" s="22"/>
      <c r="B41" s="23"/>
      <c r="C41" s="23"/>
      <c r="D41" s="32"/>
      <c r="E41" s="106"/>
      <c r="F41"/>
    </row>
    <row r="42" spans="1:6" s="36" customFormat="1" x14ac:dyDescent="0.25">
      <c r="A42" s="22"/>
      <c r="B42" s="32"/>
      <c r="C42" s="32" t="s">
        <v>454</v>
      </c>
      <c r="D42" s="23"/>
      <c r="E42" s="106"/>
      <c r="F42">
        <v>1</v>
      </c>
    </row>
    <row r="43" spans="1:6" s="36" customFormat="1" x14ac:dyDescent="0.25">
      <c r="A43" s="22"/>
      <c r="B43" s="32"/>
      <c r="C43" s="23"/>
      <c r="D43" s="23"/>
      <c r="E43" s="106"/>
      <c r="F43">
        <v>1</v>
      </c>
    </row>
    <row r="44" spans="1:6" s="36" customFormat="1" x14ac:dyDescent="0.25">
      <c r="A44" s="22"/>
      <c r="B44" s="32"/>
      <c r="C44" s="32" t="s">
        <v>455</v>
      </c>
      <c r="D44" s="23"/>
      <c r="E44" s="106"/>
      <c r="F44">
        <v>1</v>
      </c>
    </row>
    <row r="45" spans="1:6" s="36" customFormat="1" x14ac:dyDescent="0.25">
      <c r="A45" s="22"/>
      <c r="B45" s="32"/>
      <c r="C45" s="32"/>
      <c r="D45" s="23"/>
      <c r="E45" s="76"/>
      <c r="F45">
        <v>1</v>
      </c>
    </row>
    <row r="46" spans="1:6" x14ac:dyDescent="0.25">
      <c r="A46" s="22"/>
      <c r="B46" s="32"/>
      <c r="C46" s="32" t="s">
        <v>451</v>
      </c>
      <c r="D46" s="23"/>
      <c r="E46" s="76"/>
      <c r="F46">
        <v>1</v>
      </c>
    </row>
    <row r="47" spans="1:6" s="36" customFormat="1" x14ac:dyDescent="0.25">
      <c r="A47" s="25"/>
      <c r="B47" s="33"/>
      <c r="C47" s="6"/>
      <c r="D47" s="6"/>
      <c r="E47" s="34"/>
      <c r="F47"/>
    </row>
    <row r="48" spans="1:6" s="36" customFormat="1" x14ac:dyDescent="0.25">
      <c r="A48" s="35"/>
    </row>
    <row r="49" spans="1:5" s="36" customFormat="1" x14ac:dyDescent="0.25">
      <c r="A49" s="35"/>
    </row>
    <row r="50" spans="1:5" s="36" customFormat="1" x14ac:dyDescent="0.25">
      <c r="A50" s="35"/>
    </row>
    <row r="51" spans="1:5" s="36" customFormat="1" x14ac:dyDescent="0.25">
      <c r="A51" s="35"/>
    </row>
    <row r="52" spans="1:5" s="36" customFormat="1" x14ac:dyDescent="0.25">
      <c r="A52" s="35"/>
    </row>
    <row r="53" spans="1:5" s="36" customFormat="1" x14ac:dyDescent="0.25">
      <c r="A53" s="35"/>
    </row>
    <row r="54" spans="1:5" s="36" customFormat="1" x14ac:dyDescent="0.25">
      <c r="A54" s="35"/>
    </row>
    <row r="55" spans="1:5" x14ac:dyDescent="0.25">
      <c r="A55" s="35"/>
      <c r="B55" s="36"/>
      <c r="C55" s="36"/>
      <c r="D55" s="36"/>
      <c r="E55" s="36"/>
    </row>
    <row r="56" spans="1:5" x14ac:dyDescent="0.25">
      <c r="A56" s="35"/>
      <c r="B56" s="36"/>
      <c r="C56" s="36"/>
      <c r="D56" s="36"/>
      <c r="E56" s="36"/>
    </row>
    <row r="57" spans="1:5" x14ac:dyDescent="0.25">
      <c r="A57" s="35"/>
      <c r="B57" s="36"/>
      <c r="C57" s="36"/>
      <c r="D57" s="36"/>
      <c r="E57" s="36"/>
    </row>
    <row r="58" spans="1:5" x14ac:dyDescent="0.25">
      <c r="A58" s="35"/>
      <c r="B58" s="36"/>
      <c r="C58" s="36"/>
      <c r="D58" s="36"/>
      <c r="E58" s="36"/>
    </row>
    <row r="59" spans="1:5" x14ac:dyDescent="0.25">
      <c r="A59" s="35"/>
      <c r="B59" s="36"/>
      <c r="C59" s="36"/>
      <c r="D59" s="36"/>
      <c r="E59" s="36"/>
    </row>
    <row r="60" spans="1:5" x14ac:dyDescent="0.25">
      <c r="A60" s="35"/>
      <c r="B60" s="36"/>
      <c r="C60" s="36"/>
      <c r="D60" s="36"/>
      <c r="E60" s="36"/>
    </row>
    <row r="61" spans="1:5" x14ac:dyDescent="0.25">
      <c r="A61" s="35"/>
      <c r="B61" s="36"/>
      <c r="C61" s="36"/>
      <c r="D61" s="36"/>
      <c r="E61" s="36"/>
    </row>
    <row r="62" spans="1:5" x14ac:dyDescent="0.25">
      <c r="A62" s="35"/>
      <c r="B62" s="36"/>
      <c r="C62" s="36"/>
      <c r="D62" s="36"/>
      <c r="E62" s="36"/>
    </row>
    <row r="63" spans="1:5" x14ac:dyDescent="0.25">
      <c r="A63" s="35"/>
      <c r="B63" s="36"/>
      <c r="C63" s="36"/>
      <c r="D63" s="36"/>
      <c r="E63" s="36"/>
    </row>
    <row r="64" spans="1:5" x14ac:dyDescent="0.25">
      <c r="A64" s="35"/>
      <c r="B64" s="36"/>
      <c r="C64" s="36"/>
      <c r="D64" s="36"/>
      <c r="E64" s="36"/>
    </row>
    <row r="65" spans="1:5" x14ac:dyDescent="0.25">
      <c r="A65" s="35"/>
      <c r="B65" s="36"/>
      <c r="C65" s="36"/>
      <c r="D65" s="36"/>
      <c r="E65" s="36"/>
    </row>
    <row r="66" spans="1:5" x14ac:dyDescent="0.25">
      <c r="A66" s="35"/>
      <c r="B66" s="36"/>
      <c r="C66" s="36"/>
      <c r="D66" s="36"/>
      <c r="E66" s="36"/>
    </row>
    <row r="67" spans="1:5" x14ac:dyDescent="0.25">
      <c r="A67" s="35"/>
      <c r="B67" s="36"/>
      <c r="C67" s="36"/>
      <c r="D67" s="36"/>
      <c r="E67" s="36"/>
    </row>
    <row r="68" spans="1:5" x14ac:dyDescent="0.25">
      <c r="A68" s="35"/>
      <c r="B68" s="36"/>
      <c r="C68" s="36"/>
      <c r="D68" s="36"/>
      <c r="E68" s="36"/>
    </row>
    <row r="69" spans="1:5" x14ac:dyDescent="0.25">
      <c r="A69" s="35"/>
      <c r="B69" s="36"/>
      <c r="C69" s="36"/>
      <c r="D69" s="36"/>
      <c r="E69" s="36"/>
    </row>
    <row r="70" spans="1:5" x14ac:dyDescent="0.25">
      <c r="A70" s="35"/>
      <c r="B70" s="36"/>
      <c r="C70" s="36"/>
      <c r="D70" s="36"/>
      <c r="E70" s="36"/>
    </row>
    <row r="71" spans="1:5" x14ac:dyDescent="0.25">
      <c r="A71" s="35"/>
      <c r="B71" s="36"/>
      <c r="C71" s="36"/>
      <c r="D71" s="36"/>
      <c r="E71" s="36"/>
    </row>
    <row r="72" spans="1:5" x14ac:dyDescent="0.25">
      <c r="A72" s="35"/>
      <c r="B72" s="36"/>
      <c r="C72" s="36"/>
      <c r="D72" s="36"/>
      <c r="E72" s="36"/>
    </row>
    <row r="73" spans="1:5" x14ac:dyDescent="0.25">
      <c r="A73" s="35"/>
      <c r="B73" s="36"/>
      <c r="C73" s="36"/>
      <c r="D73" s="36"/>
      <c r="E73" s="36"/>
    </row>
    <row r="74" spans="1:5" x14ac:dyDescent="0.25">
      <c r="A74" s="35"/>
      <c r="B74" s="36"/>
      <c r="C74" s="36"/>
      <c r="D74" s="36"/>
      <c r="E74" s="36"/>
    </row>
    <row r="75" spans="1:5" x14ac:dyDescent="0.25">
      <c r="A75" s="35"/>
      <c r="B75" s="36"/>
      <c r="C75" s="36"/>
      <c r="D75" s="36"/>
      <c r="E75" s="36"/>
    </row>
    <row r="76" spans="1:5" x14ac:dyDescent="0.25">
      <c r="A76" s="35"/>
      <c r="B76" s="36"/>
      <c r="C76" s="36"/>
      <c r="D76" s="36"/>
      <c r="E76" s="36"/>
    </row>
    <row r="77" spans="1:5" x14ac:dyDescent="0.25">
      <c r="A77" s="35"/>
      <c r="B77" s="36"/>
      <c r="C77" s="36"/>
      <c r="D77" s="36"/>
      <c r="E77" s="36"/>
    </row>
    <row r="78" spans="1:5" x14ac:dyDescent="0.25">
      <c r="A78" s="35"/>
      <c r="B78" s="36"/>
      <c r="C78" s="36"/>
      <c r="D78" s="36"/>
      <c r="E78" s="36"/>
    </row>
    <row r="79" spans="1:5" x14ac:dyDescent="0.25">
      <c r="A79" s="35"/>
      <c r="B79" s="36"/>
      <c r="C79" s="36"/>
      <c r="D79" s="36"/>
      <c r="E79" s="36"/>
    </row>
    <row r="80" spans="1:5" x14ac:dyDescent="0.25">
      <c r="A80" s="35"/>
      <c r="B80" s="36"/>
      <c r="C80" s="36"/>
      <c r="D80" s="36"/>
      <c r="E80" s="36"/>
    </row>
    <row r="81" spans="1:5" x14ac:dyDescent="0.25">
      <c r="A81" s="35"/>
      <c r="B81" s="36"/>
      <c r="C81" s="36"/>
      <c r="D81" s="36"/>
      <c r="E81" s="36"/>
    </row>
    <row r="82" spans="1:5" x14ac:dyDescent="0.25">
      <c r="A82" s="35"/>
      <c r="B82" s="36"/>
      <c r="C82" s="36"/>
      <c r="D82" s="36"/>
      <c r="E82" s="36"/>
    </row>
    <row r="83" spans="1:5" x14ac:dyDescent="0.25">
      <c r="A83" s="35"/>
      <c r="B83" s="36"/>
      <c r="C83" s="36"/>
      <c r="D83" s="36"/>
      <c r="E83" s="36"/>
    </row>
    <row r="84" spans="1:5" x14ac:dyDescent="0.25">
      <c r="A84" s="35"/>
      <c r="B84" s="36"/>
      <c r="C84" s="36"/>
      <c r="D84" s="36"/>
      <c r="E84" s="36"/>
    </row>
    <row r="85" spans="1:5" x14ac:dyDescent="0.25">
      <c r="A85" s="35"/>
      <c r="B85" s="36"/>
      <c r="C85" s="36"/>
      <c r="D85" s="36"/>
      <c r="E85" s="36"/>
    </row>
  </sheetData>
  <mergeCells count="8">
    <mergeCell ref="E38:E44"/>
    <mergeCell ref="E9:E13"/>
    <mergeCell ref="E3:E7"/>
    <mergeCell ref="E15:E17"/>
    <mergeCell ref="E19:E21"/>
    <mergeCell ref="E27:E29"/>
    <mergeCell ref="E31:E32"/>
    <mergeCell ref="E34:E3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3729" r:id="rId3" name="Drop Down 1">
              <controlPr defaultSize="0" autoLine="0" autoPict="0">
                <anchor moveWithCells="1">
                  <from>
                    <xdr:col>3</xdr:col>
                    <xdr:colOff>0</xdr:colOff>
                    <xdr:row>2</xdr:row>
                    <xdr:rowOff>38100</xdr:rowOff>
                  </from>
                  <to>
                    <xdr:col>3</xdr:col>
                    <xdr:colOff>1800225</xdr:colOff>
                    <xdr:row>3</xdr:row>
                    <xdr:rowOff>47625</xdr:rowOff>
                  </to>
                </anchor>
              </controlPr>
            </control>
          </mc:Choice>
        </mc:AlternateContent>
        <mc:AlternateContent xmlns:mc="http://schemas.openxmlformats.org/markup-compatibility/2006">
          <mc:Choice Requires="x14">
            <control shapeId="73730" r:id="rId4" name="Drop Down 2">
              <controlPr defaultSize="0" autoLine="0" autoPict="0">
                <anchor moveWithCells="1">
                  <from>
                    <xdr:col>2</xdr:col>
                    <xdr:colOff>3638550</xdr:colOff>
                    <xdr:row>14</xdr:row>
                    <xdr:rowOff>0</xdr:rowOff>
                  </from>
                  <to>
                    <xdr:col>3</xdr:col>
                    <xdr:colOff>1800225</xdr:colOff>
                    <xdr:row>15</xdr:row>
                    <xdr:rowOff>9525</xdr:rowOff>
                  </to>
                </anchor>
              </controlPr>
            </control>
          </mc:Choice>
        </mc:AlternateContent>
        <mc:AlternateContent xmlns:mc="http://schemas.openxmlformats.org/markup-compatibility/2006">
          <mc:Choice Requires="x14">
            <control shapeId="73732" r:id="rId5" name="Drop Down 4">
              <controlPr defaultSize="0" autoLine="0" autoPict="0">
                <anchor moveWithCells="1">
                  <from>
                    <xdr:col>3</xdr:col>
                    <xdr:colOff>0</xdr:colOff>
                    <xdr:row>18</xdr:row>
                    <xdr:rowOff>38100</xdr:rowOff>
                  </from>
                  <to>
                    <xdr:col>3</xdr:col>
                    <xdr:colOff>1800225</xdr:colOff>
                    <xdr:row>19</xdr:row>
                    <xdr:rowOff>47625</xdr:rowOff>
                  </to>
                </anchor>
              </controlPr>
            </control>
          </mc:Choice>
        </mc:AlternateContent>
        <mc:AlternateContent xmlns:mc="http://schemas.openxmlformats.org/markup-compatibility/2006">
          <mc:Choice Requires="x14">
            <control shapeId="73733" r:id="rId6" name="Drop Down 5">
              <controlPr defaultSize="0" autoLine="0" autoPict="0">
                <anchor moveWithCells="1">
                  <from>
                    <xdr:col>3</xdr:col>
                    <xdr:colOff>0</xdr:colOff>
                    <xdr:row>22</xdr:row>
                    <xdr:rowOff>28575</xdr:rowOff>
                  </from>
                  <to>
                    <xdr:col>3</xdr:col>
                    <xdr:colOff>1800225</xdr:colOff>
                    <xdr:row>23</xdr:row>
                    <xdr:rowOff>38100</xdr:rowOff>
                  </to>
                </anchor>
              </controlPr>
            </control>
          </mc:Choice>
        </mc:AlternateContent>
        <mc:AlternateContent xmlns:mc="http://schemas.openxmlformats.org/markup-compatibility/2006">
          <mc:Choice Requires="x14">
            <control shapeId="73734" r:id="rId7" name="Drop Down 6">
              <controlPr defaultSize="0" autoLine="0" autoPict="0">
                <anchor moveWithCells="1">
                  <from>
                    <xdr:col>3</xdr:col>
                    <xdr:colOff>0</xdr:colOff>
                    <xdr:row>26</xdr:row>
                    <xdr:rowOff>28575</xdr:rowOff>
                  </from>
                  <to>
                    <xdr:col>3</xdr:col>
                    <xdr:colOff>1800225</xdr:colOff>
                    <xdr:row>27</xdr:row>
                    <xdr:rowOff>38100</xdr:rowOff>
                  </to>
                </anchor>
              </controlPr>
            </control>
          </mc:Choice>
        </mc:AlternateContent>
        <mc:AlternateContent xmlns:mc="http://schemas.openxmlformats.org/markup-compatibility/2006">
          <mc:Choice Requires="x14">
            <control shapeId="73735" r:id="rId8" name="Drop Down 7">
              <controlPr defaultSize="0" autoLine="0" autoPict="0">
                <anchor moveWithCells="1">
                  <from>
                    <xdr:col>2</xdr:col>
                    <xdr:colOff>3629025</xdr:colOff>
                    <xdr:row>30</xdr:row>
                    <xdr:rowOff>38100</xdr:rowOff>
                  </from>
                  <to>
                    <xdr:col>3</xdr:col>
                    <xdr:colOff>1781175</xdr:colOff>
                    <xdr:row>31</xdr:row>
                    <xdr:rowOff>47625</xdr:rowOff>
                  </to>
                </anchor>
              </controlPr>
            </control>
          </mc:Choice>
        </mc:AlternateContent>
        <mc:AlternateContent xmlns:mc="http://schemas.openxmlformats.org/markup-compatibility/2006">
          <mc:Choice Requires="x14">
            <control shapeId="73736" r:id="rId9" name="Drop Down 8">
              <controlPr defaultSize="0" autoLine="0" autoPict="0">
                <anchor moveWithCells="1">
                  <from>
                    <xdr:col>3</xdr:col>
                    <xdr:colOff>0</xdr:colOff>
                    <xdr:row>37</xdr:row>
                    <xdr:rowOff>0</xdr:rowOff>
                  </from>
                  <to>
                    <xdr:col>3</xdr:col>
                    <xdr:colOff>1800225</xdr:colOff>
                    <xdr:row>38</xdr:row>
                    <xdr:rowOff>9525</xdr:rowOff>
                  </to>
                </anchor>
              </controlPr>
            </control>
          </mc:Choice>
        </mc:AlternateContent>
        <mc:AlternateContent xmlns:mc="http://schemas.openxmlformats.org/markup-compatibility/2006">
          <mc:Choice Requires="x14">
            <control shapeId="73737" r:id="rId10" name="Drop Down 9">
              <controlPr defaultSize="0" autoLine="0" autoPict="0">
                <anchor moveWithCells="1">
                  <from>
                    <xdr:col>3</xdr:col>
                    <xdr:colOff>9525</xdr:colOff>
                    <xdr:row>39</xdr:row>
                    <xdr:rowOff>0</xdr:rowOff>
                  </from>
                  <to>
                    <xdr:col>3</xdr:col>
                    <xdr:colOff>1809750</xdr:colOff>
                    <xdr:row>40</xdr:row>
                    <xdr:rowOff>9525</xdr:rowOff>
                  </to>
                </anchor>
              </controlPr>
            </control>
          </mc:Choice>
        </mc:AlternateContent>
        <mc:AlternateContent xmlns:mc="http://schemas.openxmlformats.org/markup-compatibility/2006">
          <mc:Choice Requires="x14">
            <control shapeId="73738" r:id="rId11" name="Drop Down 10">
              <controlPr defaultSize="0" autoLine="0" autoPict="0">
                <anchor moveWithCells="1">
                  <from>
                    <xdr:col>3</xdr:col>
                    <xdr:colOff>0</xdr:colOff>
                    <xdr:row>40</xdr:row>
                    <xdr:rowOff>180975</xdr:rowOff>
                  </from>
                  <to>
                    <xdr:col>3</xdr:col>
                    <xdr:colOff>1800225</xdr:colOff>
                    <xdr:row>42</xdr:row>
                    <xdr:rowOff>0</xdr:rowOff>
                  </to>
                </anchor>
              </controlPr>
            </control>
          </mc:Choice>
        </mc:AlternateContent>
        <mc:AlternateContent xmlns:mc="http://schemas.openxmlformats.org/markup-compatibility/2006">
          <mc:Choice Requires="x14">
            <control shapeId="73739" r:id="rId12" name="Drop Down 11">
              <controlPr defaultSize="0" autoLine="0" autoPict="0">
                <anchor moveWithCells="1">
                  <from>
                    <xdr:col>3</xdr:col>
                    <xdr:colOff>0</xdr:colOff>
                    <xdr:row>43</xdr:row>
                    <xdr:rowOff>0</xdr:rowOff>
                  </from>
                  <to>
                    <xdr:col>3</xdr:col>
                    <xdr:colOff>1800225</xdr:colOff>
                    <xdr:row>44</xdr:row>
                    <xdr:rowOff>9525</xdr:rowOff>
                  </to>
                </anchor>
              </controlPr>
            </control>
          </mc:Choice>
        </mc:AlternateContent>
        <mc:AlternateContent xmlns:mc="http://schemas.openxmlformats.org/markup-compatibility/2006">
          <mc:Choice Requires="x14">
            <control shapeId="73740" r:id="rId13" name="Drop Down 12">
              <controlPr defaultSize="0" autoLine="0" autoPict="0">
                <anchor moveWithCells="1">
                  <from>
                    <xdr:col>2</xdr:col>
                    <xdr:colOff>3638550</xdr:colOff>
                    <xdr:row>8</xdr:row>
                    <xdr:rowOff>57150</xdr:rowOff>
                  </from>
                  <to>
                    <xdr:col>3</xdr:col>
                    <xdr:colOff>1800225</xdr:colOff>
                    <xdr:row>9</xdr:row>
                    <xdr:rowOff>66675</xdr:rowOff>
                  </to>
                </anchor>
              </controlPr>
            </control>
          </mc:Choice>
        </mc:AlternateContent>
        <mc:AlternateContent xmlns:mc="http://schemas.openxmlformats.org/markup-compatibility/2006">
          <mc:Choice Requires="x14">
            <control shapeId="73741" r:id="rId14" name="Drop Down 13">
              <controlPr defaultSize="0" autoLine="0" autoPict="0">
                <anchor moveWithCells="1">
                  <from>
                    <xdr:col>3</xdr:col>
                    <xdr:colOff>9525</xdr:colOff>
                    <xdr:row>33</xdr:row>
                    <xdr:rowOff>38100</xdr:rowOff>
                  </from>
                  <to>
                    <xdr:col>3</xdr:col>
                    <xdr:colOff>1809750</xdr:colOff>
                    <xdr:row>34</xdr:row>
                    <xdr:rowOff>47625</xdr:rowOff>
                  </to>
                </anchor>
              </controlPr>
            </control>
          </mc:Choice>
        </mc:AlternateContent>
        <mc:AlternateContent xmlns:mc="http://schemas.openxmlformats.org/markup-compatibility/2006">
          <mc:Choice Requires="x14">
            <control shapeId="73742" r:id="rId15" name="Drop Down 14">
              <controlPr defaultSize="0" autoLine="0" autoPict="0">
                <anchor moveWithCells="1">
                  <from>
                    <xdr:col>3</xdr:col>
                    <xdr:colOff>9525</xdr:colOff>
                    <xdr:row>45</xdr:row>
                    <xdr:rowOff>0</xdr:rowOff>
                  </from>
                  <to>
                    <xdr:col>3</xdr:col>
                    <xdr:colOff>1809750</xdr:colOff>
                    <xdr:row>46</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5E75C-D7F3-41F8-9D62-1A1DB4000859}">
  <sheetPr>
    <tabColor theme="6" tint="0.59999389629810485"/>
  </sheetPr>
  <dimension ref="A1:P106"/>
  <sheetViews>
    <sheetView showGridLines="0" zoomScale="115" zoomScaleNormal="115" workbookViewId="0">
      <pane ySplit="1" topLeftCell="A2" activePane="bottomLeft" state="frozen"/>
      <selection activeCell="C23" sqref="C23"/>
      <selection pane="bottomLeft" activeCell="D12" sqref="D12"/>
    </sheetView>
  </sheetViews>
  <sheetFormatPr defaultRowHeight="15" x14ac:dyDescent="0.25"/>
  <cols>
    <col min="1" max="1" width="5.5703125" style="1" customWidth="1"/>
    <col min="2" max="2" width="3.85546875" customWidth="1"/>
    <col min="3" max="3" width="54.7109375" customWidth="1"/>
    <col min="4" max="4" width="36.42578125" customWidth="1"/>
    <col min="5" max="5" width="51.140625" customWidth="1"/>
    <col min="6" max="6" width="15.140625" hidden="1" customWidth="1"/>
    <col min="7" max="16" width="9.140625" style="36"/>
  </cols>
  <sheetData>
    <row r="1" spans="1:6" x14ac:dyDescent="0.25">
      <c r="A1" s="35" t="s">
        <v>247</v>
      </c>
      <c r="B1" s="36"/>
      <c r="C1" s="36"/>
      <c r="D1" s="36"/>
      <c r="E1" s="90" t="str">
        <f>"Risk Ranking - "&amp;ROUND('Fire Score'!B28,1)</f>
        <v>Risk Ranking - 23.1</v>
      </c>
      <c r="F1" s="36"/>
    </row>
    <row r="2" spans="1:6" x14ac:dyDescent="0.25">
      <c r="A2" s="35"/>
      <c r="B2" s="36"/>
      <c r="C2" s="36"/>
      <c r="D2" s="36"/>
      <c r="E2" s="37" t="s">
        <v>216</v>
      </c>
      <c r="F2" s="36"/>
    </row>
    <row r="3" spans="1:6" x14ac:dyDescent="0.25">
      <c r="A3" s="19">
        <v>1</v>
      </c>
      <c r="B3" s="20" t="s">
        <v>248</v>
      </c>
      <c r="C3" s="21"/>
      <c r="D3" s="21"/>
      <c r="E3" s="107" t="s">
        <v>446</v>
      </c>
      <c r="F3">
        <v>1</v>
      </c>
    </row>
    <row r="4" spans="1:6" x14ac:dyDescent="0.25">
      <c r="A4" s="22"/>
      <c r="B4" s="23"/>
      <c r="C4" s="24" t="s">
        <v>2</v>
      </c>
      <c r="D4" s="24"/>
      <c r="E4" s="108"/>
    </row>
    <row r="5" spans="1:6" x14ac:dyDescent="0.25">
      <c r="A5" s="25"/>
      <c r="B5" s="6"/>
      <c r="C5" s="26" t="s">
        <v>0</v>
      </c>
      <c r="D5" s="26"/>
      <c r="E5" s="109"/>
    </row>
    <row r="6" spans="1:6" x14ac:dyDescent="0.25">
      <c r="A6" s="35"/>
      <c r="B6" s="36"/>
      <c r="C6" s="36"/>
      <c r="D6" s="36"/>
      <c r="E6" s="36"/>
    </row>
    <row r="7" spans="1:6" x14ac:dyDescent="0.25">
      <c r="A7" s="19">
        <v>2</v>
      </c>
      <c r="B7" s="20" t="s">
        <v>439</v>
      </c>
      <c r="C7" s="21"/>
      <c r="D7" s="21"/>
      <c r="E7" s="110" t="s">
        <v>447</v>
      </c>
      <c r="F7">
        <v>2</v>
      </c>
    </row>
    <row r="8" spans="1:6" x14ac:dyDescent="0.25">
      <c r="A8" s="22"/>
      <c r="B8" s="23"/>
      <c r="C8" s="23" t="s">
        <v>2</v>
      </c>
      <c r="D8" s="23"/>
      <c r="E8" s="111"/>
    </row>
    <row r="9" spans="1:6" x14ac:dyDescent="0.25">
      <c r="A9" s="25"/>
      <c r="B9" s="6"/>
      <c r="C9" s="6" t="s">
        <v>0</v>
      </c>
      <c r="D9" s="6"/>
      <c r="E9" s="112"/>
    </row>
    <row r="10" spans="1:6" s="36" customFormat="1" x14ac:dyDescent="0.25">
      <c r="A10" s="35"/>
    </row>
    <row r="11" spans="1:6" s="36" customFormat="1" ht="27.75" customHeight="1" x14ac:dyDescent="0.25">
      <c r="A11" s="100">
        <v>3</v>
      </c>
      <c r="B11" s="117" t="s">
        <v>440</v>
      </c>
      <c r="C11" s="117"/>
      <c r="D11" s="21" t="s">
        <v>47</v>
      </c>
      <c r="E11" s="107" t="s">
        <v>278</v>
      </c>
      <c r="F11">
        <v>1</v>
      </c>
    </row>
    <row r="12" spans="1:6" s="36" customFormat="1" x14ac:dyDescent="0.25">
      <c r="A12" s="22"/>
      <c r="B12" s="23"/>
      <c r="C12" s="7" t="s">
        <v>84</v>
      </c>
      <c r="D12" s="24"/>
      <c r="E12" s="108"/>
      <c r="F12"/>
    </row>
    <row r="13" spans="1:6" s="36" customFormat="1" x14ac:dyDescent="0.25">
      <c r="A13" s="22"/>
      <c r="B13" s="23"/>
      <c r="C13" s="7" t="s">
        <v>85</v>
      </c>
      <c r="D13" s="24"/>
      <c r="E13" s="108"/>
      <c r="F13"/>
    </row>
    <row r="14" spans="1:6" s="36" customFormat="1" x14ac:dyDescent="0.25">
      <c r="A14" s="22"/>
      <c r="B14" s="23"/>
      <c r="C14" s="7" t="s">
        <v>89</v>
      </c>
      <c r="D14" s="24"/>
      <c r="E14" s="108"/>
      <c r="F14"/>
    </row>
    <row r="15" spans="1:6" s="36" customFormat="1" x14ac:dyDescent="0.25">
      <c r="A15" s="25"/>
      <c r="B15" s="6"/>
      <c r="C15" s="26" t="s">
        <v>83</v>
      </c>
      <c r="D15" s="26"/>
      <c r="E15" s="109"/>
      <c r="F15"/>
    </row>
    <row r="16" spans="1:6" s="36" customFormat="1" x14ac:dyDescent="0.25">
      <c r="A16" s="35"/>
    </row>
    <row r="17" spans="1:6" s="36" customFormat="1" ht="15" customHeight="1" x14ac:dyDescent="0.25">
      <c r="A17" s="19">
        <v>4</v>
      </c>
      <c r="B17" s="20" t="s">
        <v>86</v>
      </c>
      <c r="C17" s="21"/>
      <c r="D17" s="21"/>
      <c r="E17" s="110" t="s">
        <v>217</v>
      </c>
      <c r="F17">
        <v>1</v>
      </c>
    </row>
    <row r="18" spans="1:6" s="36" customFormat="1" x14ac:dyDescent="0.25">
      <c r="A18" s="22"/>
      <c r="B18" s="23"/>
      <c r="C18" s="23" t="s">
        <v>2</v>
      </c>
      <c r="D18" s="23"/>
      <c r="E18" s="111"/>
      <c r="F18"/>
    </row>
    <row r="19" spans="1:6" s="36" customFormat="1" x14ac:dyDescent="0.25">
      <c r="A19" s="25"/>
      <c r="B19" s="6"/>
      <c r="C19" s="6" t="s">
        <v>0</v>
      </c>
      <c r="D19" s="6"/>
      <c r="E19" s="112"/>
      <c r="F19"/>
    </row>
    <row r="20" spans="1:6" s="36" customFormat="1" x14ac:dyDescent="0.25">
      <c r="A20" s="35"/>
    </row>
    <row r="21" spans="1:6" s="36" customFormat="1" x14ac:dyDescent="0.25">
      <c r="A21" s="19">
        <v>6</v>
      </c>
      <c r="B21" s="20" t="s">
        <v>223</v>
      </c>
      <c r="C21" s="21"/>
      <c r="D21" s="21"/>
      <c r="E21" s="110" t="s">
        <v>218</v>
      </c>
      <c r="F21">
        <v>1</v>
      </c>
    </row>
    <row r="22" spans="1:6" s="36" customFormat="1" x14ac:dyDescent="0.25">
      <c r="A22" s="22"/>
      <c r="B22" s="23"/>
      <c r="C22" s="23" t="s">
        <v>2</v>
      </c>
      <c r="D22" s="23"/>
      <c r="E22" s="111"/>
      <c r="F22"/>
    </row>
    <row r="23" spans="1:6" s="36" customFormat="1" x14ac:dyDescent="0.25">
      <c r="A23" s="25"/>
      <c r="B23" s="6"/>
      <c r="C23" s="6" t="s">
        <v>0</v>
      </c>
      <c r="D23" s="6"/>
      <c r="E23" s="112"/>
      <c r="F23"/>
    </row>
    <row r="24" spans="1:6" s="36" customFormat="1" x14ac:dyDescent="0.25">
      <c r="A24" s="35"/>
    </row>
    <row r="25" spans="1:6" s="36" customFormat="1" x14ac:dyDescent="0.25">
      <c r="A25" s="19">
        <v>7</v>
      </c>
      <c r="B25" s="20" t="s">
        <v>119</v>
      </c>
      <c r="C25" s="21"/>
      <c r="D25" s="21"/>
      <c r="E25" s="27"/>
      <c r="F25">
        <v>2</v>
      </c>
    </row>
    <row r="26" spans="1:6" s="36" customFormat="1" x14ac:dyDescent="0.25">
      <c r="A26" s="22"/>
      <c r="B26" s="23"/>
      <c r="C26" s="23" t="s">
        <v>2</v>
      </c>
      <c r="D26" s="28"/>
      <c r="E26" s="29"/>
      <c r="F26"/>
    </row>
    <row r="27" spans="1:6" s="36" customFormat="1" x14ac:dyDescent="0.25">
      <c r="A27" s="25"/>
      <c r="B27" s="6"/>
      <c r="C27" s="6" t="s">
        <v>0</v>
      </c>
      <c r="D27" s="30"/>
      <c r="E27" s="31"/>
    </row>
    <row r="28" spans="1:6" s="36" customFormat="1" ht="15" customHeight="1" x14ac:dyDescent="0.25">
      <c r="A28" s="39"/>
      <c r="B28" s="40"/>
      <c r="C28" s="40"/>
      <c r="D28" s="40"/>
      <c r="E28" s="41"/>
    </row>
    <row r="29" spans="1:6" s="36" customFormat="1" ht="15" customHeight="1" x14ac:dyDescent="0.25">
      <c r="A29" s="19">
        <v>8</v>
      </c>
      <c r="B29" s="20" t="s">
        <v>376</v>
      </c>
      <c r="C29" s="21"/>
      <c r="D29" s="21"/>
      <c r="E29" s="110" t="s">
        <v>393</v>
      </c>
      <c r="F29" s="36">
        <v>2</v>
      </c>
    </row>
    <row r="30" spans="1:6" s="36" customFormat="1" ht="54" customHeight="1" x14ac:dyDescent="0.25">
      <c r="A30" s="25"/>
      <c r="B30" s="6"/>
      <c r="C30" s="6"/>
      <c r="D30" s="6"/>
      <c r="E30" s="113"/>
    </row>
    <row r="31" spans="1:6" s="36" customFormat="1" x14ac:dyDescent="0.25">
      <c r="A31" s="39"/>
      <c r="B31" s="40"/>
      <c r="C31" s="40"/>
      <c r="D31" s="40"/>
      <c r="E31" s="41"/>
    </row>
    <row r="32" spans="1:6" s="36" customFormat="1" x14ac:dyDescent="0.25">
      <c r="A32" s="19">
        <v>9</v>
      </c>
      <c r="B32" s="20" t="s">
        <v>107</v>
      </c>
      <c r="C32" s="21"/>
      <c r="D32" s="21"/>
      <c r="E32" s="45"/>
      <c r="F32" s="47">
        <v>1</v>
      </c>
    </row>
    <row r="33" spans="1:6" s="36" customFormat="1" ht="18" customHeight="1" x14ac:dyDescent="0.25">
      <c r="A33" s="22"/>
      <c r="B33" s="23"/>
      <c r="C33" s="46" t="s">
        <v>92</v>
      </c>
      <c r="D33" s="23"/>
      <c r="E33" s="43"/>
      <c r="F33" s="48">
        <v>2</v>
      </c>
    </row>
    <row r="34" spans="1:6" s="36" customFormat="1" ht="18" customHeight="1" x14ac:dyDescent="0.25">
      <c r="A34" s="22"/>
      <c r="B34" s="23"/>
      <c r="C34" s="23" t="s">
        <v>131</v>
      </c>
      <c r="D34" s="23"/>
      <c r="E34" s="43"/>
      <c r="F34" s="48">
        <v>2</v>
      </c>
    </row>
    <row r="35" spans="1:6" s="36" customFormat="1" ht="18" customHeight="1" x14ac:dyDescent="0.25">
      <c r="A35" s="22"/>
      <c r="B35" s="23"/>
      <c r="C35" s="23" t="s">
        <v>130</v>
      </c>
      <c r="D35" s="23"/>
      <c r="E35" s="43"/>
      <c r="F35" s="48">
        <v>2</v>
      </c>
    </row>
    <row r="36" spans="1:6" s="36" customFormat="1" ht="18" customHeight="1" x14ac:dyDescent="0.25">
      <c r="A36" s="22"/>
      <c r="B36" s="23"/>
      <c r="C36" s="23" t="s">
        <v>231</v>
      </c>
      <c r="D36" s="23"/>
      <c r="E36" s="43"/>
      <c r="F36" s="48">
        <v>2</v>
      </c>
    </row>
    <row r="37" spans="1:6" s="36" customFormat="1" ht="18" customHeight="1" x14ac:dyDescent="0.25">
      <c r="A37" s="22"/>
      <c r="B37" s="23"/>
      <c r="C37" s="46" t="s">
        <v>93</v>
      </c>
      <c r="D37" s="23"/>
      <c r="E37" s="43"/>
      <c r="F37" s="48">
        <v>1</v>
      </c>
    </row>
    <row r="38" spans="1:6" s="36" customFormat="1" ht="18" customHeight="1" x14ac:dyDescent="0.25">
      <c r="A38" s="22"/>
      <c r="B38" s="23"/>
      <c r="C38" s="46" t="s">
        <v>227</v>
      </c>
      <c r="D38" s="23"/>
      <c r="E38" s="43"/>
      <c r="F38" s="48">
        <v>2</v>
      </c>
    </row>
    <row r="39" spans="1:6" s="36" customFormat="1" ht="18" customHeight="1" x14ac:dyDescent="0.25">
      <c r="A39" s="22"/>
      <c r="B39" s="23"/>
      <c r="C39" s="46" t="s">
        <v>95</v>
      </c>
      <c r="D39" s="23"/>
      <c r="E39" s="43"/>
      <c r="F39" s="48">
        <v>2</v>
      </c>
    </row>
    <row r="40" spans="1:6" s="36" customFormat="1" ht="18" customHeight="1" x14ac:dyDescent="0.25">
      <c r="A40" s="22"/>
      <c r="B40" s="23"/>
      <c r="C40" s="46" t="s">
        <v>96</v>
      </c>
      <c r="D40" s="23"/>
      <c r="E40" s="43"/>
      <c r="F40" s="48">
        <v>2</v>
      </c>
    </row>
    <row r="41" spans="1:6" s="36" customFormat="1" ht="18" customHeight="1" x14ac:dyDescent="0.25">
      <c r="A41" s="22"/>
      <c r="B41" s="23"/>
      <c r="C41" s="46" t="s">
        <v>97</v>
      </c>
      <c r="D41" s="23"/>
      <c r="E41" s="43"/>
      <c r="F41" s="48">
        <v>2</v>
      </c>
    </row>
    <row r="42" spans="1:6" s="36" customFormat="1" ht="18" customHeight="1" x14ac:dyDescent="0.25">
      <c r="A42" s="22"/>
      <c r="B42" s="23"/>
      <c r="C42" s="46" t="s">
        <v>98</v>
      </c>
      <c r="D42" s="23"/>
      <c r="E42" s="43"/>
      <c r="F42" s="48">
        <v>2</v>
      </c>
    </row>
    <row r="43" spans="1:6" s="36" customFormat="1" ht="18" customHeight="1" x14ac:dyDescent="0.25">
      <c r="A43" s="22"/>
      <c r="B43" s="23"/>
      <c r="C43" s="46" t="s">
        <v>99</v>
      </c>
      <c r="D43" s="23"/>
      <c r="E43" s="43"/>
      <c r="F43" s="48">
        <v>2</v>
      </c>
    </row>
    <row r="44" spans="1:6" s="36" customFormat="1" ht="18" customHeight="1" x14ac:dyDescent="0.25">
      <c r="A44" s="22"/>
      <c r="B44" s="23"/>
      <c r="C44" s="46" t="s">
        <v>100</v>
      </c>
      <c r="D44" s="23"/>
      <c r="E44" s="43"/>
      <c r="F44" s="48">
        <v>2</v>
      </c>
    </row>
    <row r="45" spans="1:6" s="36" customFormat="1" ht="18" customHeight="1" x14ac:dyDescent="0.25">
      <c r="A45" s="22"/>
      <c r="B45" s="23"/>
      <c r="C45" s="46" t="s">
        <v>101</v>
      </c>
      <c r="D45" s="23"/>
      <c r="E45" s="43"/>
      <c r="F45" s="48">
        <v>2</v>
      </c>
    </row>
    <row r="46" spans="1:6" s="36" customFormat="1" ht="18" customHeight="1" x14ac:dyDescent="0.25">
      <c r="A46" s="22"/>
      <c r="B46" s="23"/>
      <c r="C46" s="46" t="s">
        <v>102</v>
      </c>
      <c r="D46" s="23"/>
      <c r="E46" s="43"/>
      <c r="F46" s="47">
        <v>2</v>
      </c>
    </row>
    <row r="47" spans="1:6" s="36" customFormat="1" ht="18" customHeight="1" x14ac:dyDescent="0.25">
      <c r="A47" s="22"/>
      <c r="B47" s="23"/>
      <c r="C47" s="46" t="s">
        <v>228</v>
      </c>
      <c r="D47" s="23"/>
      <c r="E47" s="43"/>
      <c r="F47" s="47">
        <v>2</v>
      </c>
    </row>
    <row r="48" spans="1:6" s="36" customFormat="1" ht="18" customHeight="1" x14ac:dyDescent="0.25">
      <c r="A48" s="22"/>
      <c r="B48" s="23"/>
      <c r="C48" s="46" t="s">
        <v>104</v>
      </c>
      <c r="D48" s="23"/>
      <c r="E48" s="43"/>
      <c r="F48" s="47">
        <v>2</v>
      </c>
    </row>
    <row r="49" spans="1:6" s="36" customFormat="1" x14ac:dyDescent="0.25">
      <c r="A49" s="25"/>
      <c r="B49" s="6"/>
      <c r="C49" s="6"/>
      <c r="D49" s="6"/>
      <c r="E49" s="44"/>
      <c r="F49" s="47"/>
    </row>
    <row r="50" spans="1:6" s="36" customFormat="1" x14ac:dyDescent="0.25">
      <c r="A50" s="39"/>
      <c r="B50" s="40"/>
      <c r="C50" s="40"/>
      <c r="D50" s="40"/>
      <c r="E50" s="41"/>
    </row>
    <row r="51" spans="1:6" s="36" customFormat="1" x14ac:dyDescent="0.25">
      <c r="A51" s="19">
        <v>10</v>
      </c>
      <c r="B51" s="20" t="s">
        <v>82</v>
      </c>
      <c r="C51" s="21"/>
      <c r="D51" s="21"/>
      <c r="E51" s="110" t="s">
        <v>219</v>
      </c>
      <c r="F51">
        <v>2</v>
      </c>
    </row>
    <row r="52" spans="1:6" s="36" customFormat="1" x14ac:dyDescent="0.25">
      <c r="A52" s="22"/>
      <c r="B52" s="23"/>
      <c r="C52" s="23" t="s">
        <v>445</v>
      </c>
      <c r="D52" s="23"/>
      <c r="E52" s="111"/>
      <c r="F52"/>
    </row>
    <row r="53" spans="1:6" s="36" customFormat="1" x14ac:dyDescent="0.25">
      <c r="A53" s="25"/>
      <c r="B53" s="6"/>
      <c r="C53" s="6" t="s">
        <v>120</v>
      </c>
      <c r="D53" s="6"/>
      <c r="E53" s="112"/>
      <c r="F53"/>
    </row>
    <row r="54" spans="1:6" s="36" customFormat="1" x14ac:dyDescent="0.25">
      <c r="A54" s="35"/>
    </row>
    <row r="55" spans="1:6" s="36" customFormat="1" x14ac:dyDescent="0.25">
      <c r="A55" s="19">
        <v>11</v>
      </c>
      <c r="B55" s="20" t="s">
        <v>122</v>
      </c>
      <c r="C55" s="21"/>
      <c r="D55" s="21"/>
      <c r="E55" s="110" t="s">
        <v>220</v>
      </c>
      <c r="F55">
        <v>10</v>
      </c>
    </row>
    <row r="56" spans="1:6" s="36" customFormat="1" x14ac:dyDescent="0.25">
      <c r="A56" s="25"/>
      <c r="B56" s="6"/>
      <c r="C56" s="6"/>
      <c r="D56" s="6"/>
      <c r="E56" s="112"/>
      <c r="F56"/>
    </row>
    <row r="57" spans="1:6" s="36" customFormat="1" x14ac:dyDescent="0.25">
      <c r="A57" s="39"/>
      <c r="B57" s="40"/>
      <c r="C57" s="40"/>
      <c r="D57" s="40"/>
      <c r="E57" s="41"/>
    </row>
    <row r="58" spans="1:6" s="36" customFormat="1" x14ac:dyDescent="0.25">
      <c r="A58" s="19">
        <v>12</v>
      </c>
      <c r="B58" s="20" t="s">
        <v>204</v>
      </c>
      <c r="C58" s="21"/>
      <c r="D58" s="21"/>
      <c r="E58" s="27"/>
      <c r="F58"/>
    </row>
    <row r="59" spans="1:6" s="36" customFormat="1" x14ac:dyDescent="0.25">
      <c r="A59" s="22"/>
      <c r="B59" s="23"/>
      <c r="C59" s="23" t="s">
        <v>448</v>
      </c>
      <c r="D59" s="23"/>
      <c r="E59" s="106" t="s">
        <v>221</v>
      </c>
      <c r="F59">
        <v>1</v>
      </c>
    </row>
    <row r="60" spans="1:6" s="36" customFormat="1" x14ac:dyDescent="0.25">
      <c r="A60" s="22"/>
      <c r="B60" s="23"/>
      <c r="C60" s="23"/>
      <c r="D60" s="32"/>
      <c r="E60" s="106"/>
      <c r="F60"/>
    </row>
    <row r="61" spans="1:6" s="36" customFormat="1" x14ac:dyDescent="0.25">
      <c r="A61" s="22"/>
      <c r="B61" s="23"/>
      <c r="C61" s="32" t="s">
        <v>233</v>
      </c>
      <c r="D61" s="32"/>
      <c r="E61" s="106"/>
      <c r="F61">
        <v>1</v>
      </c>
    </row>
    <row r="62" spans="1:6" s="36" customFormat="1" x14ac:dyDescent="0.25">
      <c r="A62" s="22"/>
      <c r="B62" s="23"/>
      <c r="C62" s="23"/>
      <c r="D62" s="32"/>
      <c r="E62" s="106"/>
      <c r="F62"/>
    </row>
    <row r="63" spans="1:6" s="36" customFormat="1" x14ac:dyDescent="0.25">
      <c r="A63" s="22"/>
      <c r="B63" s="32"/>
      <c r="C63" s="32" t="s">
        <v>449</v>
      </c>
      <c r="D63" s="23"/>
      <c r="E63" s="106"/>
      <c r="F63">
        <v>2</v>
      </c>
    </row>
    <row r="64" spans="1:6" s="36" customFormat="1" x14ac:dyDescent="0.25">
      <c r="A64" s="22"/>
      <c r="B64" s="32"/>
      <c r="C64" s="23"/>
      <c r="D64" s="23"/>
      <c r="E64" s="106"/>
      <c r="F64"/>
    </row>
    <row r="65" spans="1:6" s="36" customFormat="1" x14ac:dyDescent="0.25">
      <c r="A65" s="22"/>
      <c r="B65" s="32"/>
      <c r="C65" s="32" t="s">
        <v>450</v>
      </c>
      <c r="D65" s="23"/>
      <c r="E65" s="106"/>
      <c r="F65">
        <v>2</v>
      </c>
    </row>
    <row r="66" spans="1:6" s="36" customFormat="1" x14ac:dyDescent="0.25">
      <c r="A66" s="22"/>
      <c r="B66" s="32"/>
      <c r="C66" s="32"/>
      <c r="D66" s="23"/>
      <c r="E66" s="101"/>
      <c r="F66"/>
    </row>
    <row r="67" spans="1:6" s="36" customFormat="1" x14ac:dyDescent="0.25">
      <c r="A67" s="22"/>
      <c r="B67" s="32"/>
      <c r="C67" s="32" t="s">
        <v>451</v>
      </c>
      <c r="D67" s="23"/>
      <c r="E67" s="101"/>
      <c r="F67">
        <v>2</v>
      </c>
    </row>
    <row r="68" spans="1:6" s="36" customFormat="1" x14ac:dyDescent="0.25">
      <c r="A68" s="25"/>
      <c r="B68" s="33"/>
      <c r="C68" s="6"/>
      <c r="D68" s="6"/>
      <c r="E68" s="34"/>
      <c r="F68"/>
    </row>
    <row r="69" spans="1:6" s="36" customFormat="1" x14ac:dyDescent="0.25">
      <c r="A69" s="35"/>
    </row>
    <row r="70" spans="1:6" s="36" customFormat="1" x14ac:dyDescent="0.25">
      <c r="A70" s="35"/>
    </row>
    <row r="71" spans="1:6" s="36" customFormat="1" x14ac:dyDescent="0.25">
      <c r="A71" s="35"/>
    </row>
    <row r="72" spans="1:6" s="36" customFormat="1" x14ac:dyDescent="0.25">
      <c r="A72" s="35"/>
    </row>
    <row r="73" spans="1:6" s="36" customFormat="1" x14ac:dyDescent="0.25">
      <c r="A73" s="35"/>
    </row>
    <row r="74" spans="1:6" s="36" customFormat="1" x14ac:dyDescent="0.25">
      <c r="A74" s="35"/>
    </row>
    <row r="75" spans="1:6" s="36" customFormat="1" x14ac:dyDescent="0.25">
      <c r="A75" s="35"/>
    </row>
    <row r="76" spans="1:6" x14ac:dyDescent="0.25">
      <c r="A76" s="35"/>
      <c r="B76" s="36"/>
      <c r="C76" s="36"/>
      <c r="D76" s="36"/>
      <c r="E76" s="36"/>
    </row>
    <row r="77" spans="1:6" x14ac:dyDescent="0.25">
      <c r="A77" s="35"/>
      <c r="B77" s="36"/>
      <c r="C77" s="36"/>
      <c r="D77" s="36"/>
      <c r="E77" s="36"/>
    </row>
    <row r="78" spans="1:6" x14ac:dyDescent="0.25">
      <c r="A78" s="35"/>
      <c r="B78" s="36"/>
      <c r="C78" s="36"/>
      <c r="D78" s="36"/>
      <c r="E78" s="36"/>
    </row>
    <row r="79" spans="1:6" x14ac:dyDescent="0.25">
      <c r="A79" s="35"/>
      <c r="B79" s="36"/>
      <c r="C79" s="36"/>
      <c r="D79" s="36"/>
      <c r="E79" s="36"/>
    </row>
    <row r="80" spans="1:6" x14ac:dyDescent="0.25">
      <c r="A80" s="35"/>
      <c r="B80" s="36"/>
      <c r="C80" s="36"/>
      <c r="D80" s="36"/>
      <c r="E80" s="36"/>
    </row>
    <row r="81" spans="1:5" x14ac:dyDescent="0.25">
      <c r="A81" s="35"/>
      <c r="B81" s="36"/>
      <c r="C81" s="36"/>
      <c r="D81" s="36"/>
      <c r="E81" s="36"/>
    </row>
    <row r="82" spans="1:5" x14ac:dyDescent="0.25">
      <c r="A82" s="35"/>
      <c r="B82" s="36"/>
      <c r="C82" s="36"/>
      <c r="D82" s="36"/>
      <c r="E82" s="36"/>
    </row>
    <row r="83" spans="1:5" x14ac:dyDescent="0.25">
      <c r="A83" s="35"/>
      <c r="B83" s="36"/>
      <c r="C83" s="36"/>
      <c r="D83" s="36"/>
      <c r="E83" s="36"/>
    </row>
    <row r="84" spans="1:5" x14ac:dyDescent="0.25">
      <c r="A84" s="35"/>
      <c r="B84" s="36"/>
      <c r="C84" s="36"/>
      <c r="D84" s="36"/>
      <c r="E84" s="36"/>
    </row>
    <row r="85" spans="1:5" x14ac:dyDescent="0.25">
      <c r="A85" s="35"/>
      <c r="B85" s="36"/>
      <c r="C85" s="36"/>
      <c r="D85" s="36"/>
      <c r="E85" s="36"/>
    </row>
    <row r="86" spans="1:5" x14ac:dyDescent="0.25">
      <c r="A86" s="35"/>
      <c r="B86" s="36"/>
      <c r="C86" s="36"/>
      <c r="D86" s="36"/>
      <c r="E86" s="36"/>
    </row>
    <row r="87" spans="1:5" x14ac:dyDescent="0.25">
      <c r="A87" s="35"/>
      <c r="B87" s="36"/>
      <c r="C87" s="36"/>
      <c r="D87" s="36"/>
      <c r="E87" s="36"/>
    </row>
    <row r="88" spans="1:5" x14ac:dyDescent="0.25">
      <c r="A88" s="35"/>
      <c r="B88" s="36"/>
      <c r="C88" s="36"/>
      <c r="D88" s="36"/>
      <c r="E88" s="36"/>
    </row>
    <row r="89" spans="1:5" x14ac:dyDescent="0.25">
      <c r="A89" s="35"/>
      <c r="B89" s="36"/>
      <c r="C89" s="36"/>
      <c r="D89" s="36"/>
      <c r="E89" s="36"/>
    </row>
    <row r="90" spans="1:5" x14ac:dyDescent="0.25">
      <c r="A90" s="35"/>
      <c r="B90" s="36"/>
      <c r="C90" s="36"/>
      <c r="D90" s="36"/>
      <c r="E90" s="36"/>
    </row>
    <row r="91" spans="1:5" x14ac:dyDescent="0.25">
      <c r="A91" s="35"/>
      <c r="B91" s="36"/>
      <c r="C91" s="36"/>
      <c r="D91" s="36"/>
      <c r="E91" s="36"/>
    </row>
    <row r="92" spans="1:5" x14ac:dyDescent="0.25">
      <c r="A92" s="35"/>
      <c r="B92" s="36"/>
      <c r="C92" s="36"/>
      <c r="D92" s="36"/>
      <c r="E92" s="36"/>
    </row>
    <row r="93" spans="1:5" x14ac:dyDescent="0.25">
      <c r="A93" s="35"/>
      <c r="B93" s="36"/>
      <c r="C93" s="36"/>
      <c r="D93" s="36"/>
      <c r="E93" s="36"/>
    </row>
    <row r="94" spans="1:5" x14ac:dyDescent="0.25">
      <c r="A94" s="35"/>
      <c r="B94" s="36"/>
      <c r="C94" s="36"/>
      <c r="D94" s="36"/>
      <c r="E94" s="36"/>
    </row>
    <row r="95" spans="1:5" x14ac:dyDescent="0.25">
      <c r="A95" s="35"/>
      <c r="B95" s="36"/>
      <c r="C95" s="36"/>
      <c r="D95" s="36"/>
      <c r="E95" s="36"/>
    </row>
    <row r="96" spans="1:5" x14ac:dyDescent="0.25">
      <c r="A96" s="35"/>
      <c r="B96" s="36"/>
      <c r="C96" s="36"/>
      <c r="D96" s="36"/>
      <c r="E96" s="36"/>
    </row>
    <row r="97" spans="1:5" x14ac:dyDescent="0.25">
      <c r="A97" s="35"/>
      <c r="B97" s="36"/>
      <c r="C97" s="36"/>
      <c r="D97" s="36"/>
      <c r="E97" s="36"/>
    </row>
    <row r="98" spans="1:5" x14ac:dyDescent="0.25">
      <c r="A98" s="35"/>
      <c r="B98" s="36"/>
      <c r="C98" s="36"/>
      <c r="D98" s="36"/>
      <c r="E98" s="36"/>
    </row>
    <row r="99" spans="1:5" x14ac:dyDescent="0.25">
      <c r="A99" s="35"/>
      <c r="B99" s="36"/>
      <c r="C99" s="36"/>
      <c r="D99" s="36"/>
      <c r="E99" s="36"/>
    </row>
    <row r="100" spans="1:5" x14ac:dyDescent="0.25">
      <c r="A100" s="35"/>
      <c r="B100" s="36"/>
      <c r="C100" s="36"/>
      <c r="D100" s="36"/>
      <c r="E100" s="36"/>
    </row>
    <row r="101" spans="1:5" x14ac:dyDescent="0.25">
      <c r="A101" s="35"/>
      <c r="B101" s="36"/>
      <c r="C101" s="36"/>
      <c r="D101" s="36"/>
      <c r="E101" s="36"/>
    </row>
    <row r="102" spans="1:5" x14ac:dyDescent="0.25">
      <c r="A102" s="35"/>
      <c r="B102" s="36"/>
      <c r="C102" s="36"/>
      <c r="D102" s="36"/>
      <c r="E102" s="36"/>
    </row>
    <row r="103" spans="1:5" x14ac:dyDescent="0.25">
      <c r="A103" s="35"/>
      <c r="B103" s="36"/>
      <c r="C103" s="36"/>
      <c r="D103" s="36"/>
      <c r="E103" s="36"/>
    </row>
    <row r="104" spans="1:5" x14ac:dyDescent="0.25">
      <c r="A104" s="35"/>
      <c r="B104" s="36"/>
      <c r="C104" s="36"/>
      <c r="D104" s="36"/>
      <c r="E104" s="36"/>
    </row>
    <row r="105" spans="1:5" x14ac:dyDescent="0.25">
      <c r="A105" s="35"/>
      <c r="B105" s="36"/>
      <c r="C105" s="36"/>
      <c r="D105" s="36"/>
      <c r="E105" s="36"/>
    </row>
    <row r="106" spans="1:5" x14ac:dyDescent="0.25">
      <c r="A106" s="35"/>
      <c r="B106" s="36"/>
      <c r="C106" s="36"/>
      <c r="D106" s="36"/>
      <c r="E106" s="36"/>
    </row>
  </sheetData>
  <mergeCells count="10">
    <mergeCell ref="B11:C11"/>
    <mergeCell ref="E59:E65"/>
    <mergeCell ref="E3:E5"/>
    <mergeCell ref="E11:E15"/>
    <mergeCell ref="E17:E19"/>
    <mergeCell ref="E21:E23"/>
    <mergeCell ref="E51:E53"/>
    <mergeCell ref="E55:E56"/>
    <mergeCell ref="E29:E30"/>
    <mergeCell ref="E7:E9"/>
  </mergeCells>
  <pageMargins left="0.7" right="0.7" top="0.75" bottom="0.75" header="0.3" footer="0.3"/>
  <pageSetup paperSize="9"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Drop Down 1">
              <controlPr defaultSize="0" autoLine="0" autoPict="0">
                <anchor moveWithCells="1">
                  <from>
                    <xdr:col>3</xdr:col>
                    <xdr:colOff>0</xdr:colOff>
                    <xdr:row>2</xdr:row>
                    <xdr:rowOff>38100</xdr:rowOff>
                  </from>
                  <to>
                    <xdr:col>3</xdr:col>
                    <xdr:colOff>1800225</xdr:colOff>
                    <xdr:row>3</xdr:row>
                    <xdr:rowOff>47625</xdr:rowOff>
                  </to>
                </anchor>
              </controlPr>
            </control>
          </mc:Choice>
        </mc:AlternateContent>
        <mc:AlternateContent xmlns:mc="http://schemas.openxmlformats.org/markup-compatibility/2006">
          <mc:Choice Requires="x14">
            <control shapeId="79874" r:id="rId5" name="Drop Down 2">
              <controlPr defaultSize="0" autoLine="0" autoPict="0">
                <anchor moveWithCells="1">
                  <from>
                    <xdr:col>2</xdr:col>
                    <xdr:colOff>3638550</xdr:colOff>
                    <xdr:row>16</xdr:row>
                    <xdr:rowOff>0</xdr:rowOff>
                  </from>
                  <to>
                    <xdr:col>3</xdr:col>
                    <xdr:colOff>1800225</xdr:colOff>
                    <xdr:row>17</xdr:row>
                    <xdr:rowOff>9525</xdr:rowOff>
                  </to>
                </anchor>
              </controlPr>
            </control>
          </mc:Choice>
        </mc:AlternateContent>
        <mc:AlternateContent xmlns:mc="http://schemas.openxmlformats.org/markup-compatibility/2006">
          <mc:Choice Requires="x14">
            <control shapeId="79875" r:id="rId6" name="Drop Down 3">
              <controlPr defaultSize="0" autoLine="0" autoPict="0">
                <anchor moveWithCells="1">
                  <from>
                    <xdr:col>3</xdr:col>
                    <xdr:colOff>0</xdr:colOff>
                    <xdr:row>20</xdr:row>
                    <xdr:rowOff>38100</xdr:rowOff>
                  </from>
                  <to>
                    <xdr:col>3</xdr:col>
                    <xdr:colOff>1800225</xdr:colOff>
                    <xdr:row>21</xdr:row>
                    <xdr:rowOff>47625</xdr:rowOff>
                  </to>
                </anchor>
              </controlPr>
            </control>
          </mc:Choice>
        </mc:AlternateContent>
        <mc:AlternateContent xmlns:mc="http://schemas.openxmlformats.org/markup-compatibility/2006">
          <mc:Choice Requires="x14">
            <control shapeId="79876" r:id="rId7" name="Drop Down 4">
              <controlPr defaultSize="0" autoLine="0" autoPict="0">
                <anchor moveWithCells="1">
                  <from>
                    <xdr:col>3</xdr:col>
                    <xdr:colOff>0</xdr:colOff>
                    <xdr:row>24</xdr:row>
                    <xdr:rowOff>28575</xdr:rowOff>
                  </from>
                  <to>
                    <xdr:col>3</xdr:col>
                    <xdr:colOff>1800225</xdr:colOff>
                    <xdr:row>25</xdr:row>
                    <xdr:rowOff>38100</xdr:rowOff>
                  </to>
                </anchor>
              </controlPr>
            </control>
          </mc:Choice>
        </mc:AlternateContent>
        <mc:AlternateContent xmlns:mc="http://schemas.openxmlformats.org/markup-compatibility/2006">
          <mc:Choice Requires="x14">
            <control shapeId="79877" r:id="rId8" name="Drop Down 5">
              <controlPr defaultSize="0" autoLine="0" autoPict="0">
                <anchor moveWithCells="1">
                  <from>
                    <xdr:col>3</xdr:col>
                    <xdr:colOff>0</xdr:colOff>
                    <xdr:row>50</xdr:row>
                    <xdr:rowOff>28575</xdr:rowOff>
                  </from>
                  <to>
                    <xdr:col>3</xdr:col>
                    <xdr:colOff>1800225</xdr:colOff>
                    <xdr:row>51</xdr:row>
                    <xdr:rowOff>38100</xdr:rowOff>
                  </to>
                </anchor>
              </controlPr>
            </control>
          </mc:Choice>
        </mc:AlternateContent>
        <mc:AlternateContent xmlns:mc="http://schemas.openxmlformats.org/markup-compatibility/2006">
          <mc:Choice Requires="x14">
            <control shapeId="79878" r:id="rId9" name="Drop Down 6">
              <controlPr defaultSize="0" autoLine="0" autoPict="0">
                <anchor moveWithCells="1">
                  <from>
                    <xdr:col>2</xdr:col>
                    <xdr:colOff>3629025</xdr:colOff>
                    <xdr:row>54</xdr:row>
                    <xdr:rowOff>38100</xdr:rowOff>
                  </from>
                  <to>
                    <xdr:col>3</xdr:col>
                    <xdr:colOff>1781175</xdr:colOff>
                    <xdr:row>55</xdr:row>
                    <xdr:rowOff>47625</xdr:rowOff>
                  </to>
                </anchor>
              </controlPr>
            </control>
          </mc:Choice>
        </mc:AlternateContent>
        <mc:AlternateContent xmlns:mc="http://schemas.openxmlformats.org/markup-compatibility/2006">
          <mc:Choice Requires="x14">
            <control shapeId="79879" r:id="rId10" name="Drop Down 7">
              <controlPr defaultSize="0" autoLine="0" autoPict="0">
                <anchor moveWithCells="1">
                  <from>
                    <xdr:col>3</xdr:col>
                    <xdr:colOff>0</xdr:colOff>
                    <xdr:row>58</xdr:row>
                    <xdr:rowOff>0</xdr:rowOff>
                  </from>
                  <to>
                    <xdr:col>3</xdr:col>
                    <xdr:colOff>1800225</xdr:colOff>
                    <xdr:row>59</xdr:row>
                    <xdr:rowOff>9525</xdr:rowOff>
                  </to>
                </anchor>
              </controlPr>
            </control>
          </mc:Choice>
        </mc:AlternateContent>
        <mc:AlternateContent xmlns:mc="http://schemas.openxmlformats.org/markup-compatibility/2006">
          <mc:Choice Requires="x14">
            <control shapeId="79880" r:id="rId11" name="Drop Down 8">
              <controlPr defaultSize="0" autoLine="0" autoPict="0">
                <anchor moveWithCells="1">
                  <from>
                    <xdr:col>3</xdr:col>
                    <xdr:colOff>9525</xdr:colOff>
                    <xdr:row>60</xdr:row>
                    <xdr:rowOff>0</xdr:rowOff>
                  </from>
                  <to>
                    <xdr:col>3</xdr:col>
                    <xdr:colOff>1809750</xdr:colOff>
                    <xdr:row>61</xdr:row>
                    <xdr:rowOff>9525</xdr:rowOff>
                  </to>
                </anchor>
              </controlPr>
            </control>
          </mc:Choice>
        </mc:AlternateContent>
        <mc:AlternateContent xmlns:mc="http://schemas.openxmlformats.org/markup-compatibility/2006">
          <mc:Choice Requires="x14">
            <control shapeId="79881" r:id="rId12" name="Drop Down 9">
              <controlPr defaultSize="0" autoLine="0" autoPict="0">
                <anchor moveWithCells="1">
                  <from>
                    <xdr:col>3</xdr:col>
                    <xdr:colOff>0</xdr:colOff>
                    <xdr:row>61</xdr:row>
                    <xdr:rowOff>180975</xdr:rowOff>
                  </from>
                  <to>
                    <xdr:col>3</xdr:col>
                    <xdr:colOff>1800225</xdr:colOff>
                    <xdr:row>63</xdr:row>
                    <xdr:rowOff>0</xdr:rowOff>
                  </to>
                </anchor>
              </controlPr>
            </control>
          </mc:Choice>
        </mc:AlternateContent>
        <mc:AlternateContent xmlns:mc="http://schemas.openxmlformats.org/markup-compatibility/2006">
          <mc:Choice Requires="x14">
            <control shapeId="79882" r:id="rId13" name="Drop Down 10">
              <controlPr defaultSize="0" autoLine="0" autoPict="0">
                <anchor moveWithCells="1">
                  <from>
                    <xdr:col>3</xdr:col>
                    <xdr:colOff>0</xdr:colOff>
                    <xdr:row>64</xdr:row>
                    <xdr:rowOff>0</xdr:rowOff>
                  </from>
                  <to>
                    <xdr:col>3</xdr:col>
                    <xdr:colOff>1800225</xdr:colOff>
                    <xdr:row>65</xdr:row>
                    <xdr:rowOff>9525</xdr:rowOff>
                  </to>
                </anchor>
              </controlPr>
            </control>
          </mc:Choice>
        </mc:AlternateContent>
        <mc:AlternateContent xmlns:mc="http://schemas.openxmlformats.org/markup-compatibility/2006">
          <mc:Choice Requires="x14">
            <control shapeId="79883" r:id="rId14" name="Drop Down 11">
              <controlPr defaultSize="0" autoLine="0" autoPict="0">
                <anchor moveWithCells="1">
                  <from>
                    <xdr:col>2</xdr:col>
                    <xdr:colOff>3638550</xdr:colOff>
                    <xdr:row>10</xdr:row>
                    <xdr:rowOff>57150</xdr:rowOff>
                  </from>
                  <to>
                    <xdr:col>3</xdr:col>
                    <xdr:colOff>1800225</xdr:colOff>
                    <xdr:row>10</xdr:row>
                    <xdr:rowOff>257175</xdr:rowOff>
                  </to>
                </anchor>
              </controlPr>
            </control>
          </mc:Choice>
        </mc:AlternateContent>
        <mc:AlternateContent xmlns:mc="http://schemas.openxmlformats.org/markup-compatibility/2006">
          <mc:Choice Requires="x14">
            <control shapeId="79884" r:id="rId15" name="Drop Down 12">
              <controlPr defaultSize="0" autoLine="0" autoPict="0">
                <anchor moveWithCells="1">
                  <from>
                    <xdr:col>3</xdr:col>
                    <xdr:colOff>0</xdr:colOff>
                    <xdr:row>32</xdr:row>
                    <xdr:rowOff>0</xdr:rowOff>
                  </from>
                  <to>
                    <xdr:col>3</xdr:col>
                    <xdr:colOff>1800225</xdr:colOff>
                    <xdr:row>32</xdr:row>
                    <xdr:rowOff>200025</xdr:rowOff>
                  </to>
                </anchor>
              </controlPr>
            </control>
          </mc:Choice>
        </mc:AlternateContent>
        <mc:AlternateContent xmlns:mc="http://schemas.openxmlformats.org/markup-compatibility/2006">
          <mc:Choice Requires="x14">
            <control shapeId="79885" r:id="rId16" name="Drop Down 13">
              <controlPr defaultSize="0" autoLine="0" autoPict="0">
                <anchor moveWithCells="1">
                  <from>
                    <xdr:col>3</xdr:col>
                    <xdr:colOff>0</xdr:colOff>
                    <xdr:row>32</xdr:row>
                    <xdr:rowOff>228600</xdr:rowOff>
                  </from>
                  <to>
                    <xdr:col>3</xdr:col>
                    <xdr:colOff>1800225</xdr:colOff>
                    <xdr:row>33</xdr:row>
                    <xdr:rowOff>200025</xdr:rowOff>
                  </to>
                </anchor>
              </controlPr>
            </control>
          </mc:Choice>
        </mc:AlternateContent>
        <mc:AlternateContent xmlns:mc="http://schemas.openxmlformats.org/markup-compatibility/2006">
          <mc:Choice Requires="x14">
            <control shapeId="79886" r:id="rId17" name="Drop Down 14">
              <controlPr defaultSize="0" autoLine="0" autoPict="0">
                <anchor moveWithCells="1">
                  <from>
                    <xdr:col>3</xdr:col>
                    <xdr:colOff>0</xdr:colOff>
                    <xdr:row>34</xdr:row>
                    <xdr:rowOff>0</xdr:rowOff>
                  </from>
                  <to>
                    <xdr:col>3</xdr:col>
                    <xdr:colOff>1800225</xdr:colOff>
                    <xdr:row>34</xdr:row>
                    <xdr:rowOff>200025</xdr:rowOff>
                  </to>
                </anchor>
              </controlPr>
            </control>
          </mc:Choice>
        </mc:AlternateContent>
        <mc:AlternateContent xmlns:mc="http://schemas.openxmlformats.org/markup-compatibility/2006">
          <mc:Choice Requires="x14">
            <control shapeId="79887" r:id="rId18" name="Drop Down 15">
              <controlPr defaultSize="0" autoLine="0" autoPict="0">
                <anchor moveWithCells="1">
                  <from>
                    <xdr:col>3</xdr:col>
                    <xdr:colOff>0</xdr:colOff>
                    <xdr:row>34</xdr:row>
                    <xdr:rowOff>228600</xdr:rowOff>
                  </from>
                  <to>
                    <xdr:col>3</xdr:col>
                    <xdr:colOff>1800225</xdr:colOff>
                    <xdr:row>35</xdr:row>
                    <xdr:rowOff>200025</xdr:rowOff>
                  </to>
                </anchor>
              </controlPr>
            </control>
          </mc:Choice>
        </mc:AlternateContent>
        <mc:AlternateContent xmlns:mc="http://schemas.openxmlformats.org/markup-compatibility/2006">
          <mc:Choice Requires="x14">
            <control shapeId="79888" r:id="rId19" name="Drop Down 16">
              <controlPr defaultSize="0" autoLine="0" autoPict="0">
                <anchor moveWithCells="1">
                  <from>
                    <xdr:col>3</xdr:col>
                    <xdr:colOff>0</xdr:colOff>
                    <xdr:row>35</xdr:row>
                    <xdr:rowOff>219075</xdr:rowOff>
                  </from>
                  <to>
                    <xdr:col>3</xdr:col>
                    <xdr:colOff>1800225</xdr:colOff>
                    <xdr:row>36</xdr:row>
                    <xdr:rowOff>190500</xdr:rowOff>
                  </to>
                </anchor>
              </controlPr>
            </control>
          </mc:Choice>
        </mc:AlternateContent>
        <mc:AlternateContent xmlns:mc="http://schemas.openxmlformats.org/markup-compatibility/2006">
          <mc:Choice Requires="x14">
            <control shapeId="79889" r:id="rId20" name="Drop Down 17">
              <controlPr defaultSize="0" autoLine="0" autoPict="0">
                <anchor moveWithCells="1">
                  <from>
                    <xdr:col>3</xdr:col>
                    <xdr:colOff>0</xdr:colOff>
                    <xdr:row>36</xdr:row>
                    <xdr:rowOff>219075</xdr:rowOff>
                  </from>
                  <to>
                    <xdr:col>3</xdr:col>
                    <xdr:colOff>1800225</xdr:colOff>
                    <xdr:row>37</xdr:row>
                    <xdr:rowOff>190500</xdr:rowOff>
                  </to>
                </anchor>
              </controlPr>
            </control>
          </mc:Choice>
        </mc:AlternateContent>
        <mc:AlternateContent xmlns:mc="http://schemas.openxmlformats.org/markup-compatibility/2006">
          <mc:Choice Requires="x14">
            <control shapeId="79890" r:id="rId21" name="Drop Down 18">
              <controlPr defaultSize="0" autoLine="0" autoPict="0">
                <anchor moveWithCells="1">
                  <from>
                    <xdr:col>3</xdr:col>
                    <xdr:colOff>0</xdr:colOff>
                    <xdr:row>37</xdr:row>
                    <xdr:rowOff>219075</xdr:rowOff>
                  </from>
                  <to>
                    <xdr:col>3</xdr:col>
                    <xdr:colOff>1800225</xdr:colOff>
                    <xdr:row>38</xdr:row>
                    <xdr:rowOff>190500</xdr:rowOff>
                  </to>
                </anchor>
              </controlPr>
            </control>
          </mc:Choice>
        </mc:AlternateContent>
        <mc:AlternateContent xmlns:mc="http://schemas.openxmlformats.org/markup-compatibility/2006">
          <mc:Choice Requires="x14">
            <control shapeId="79891" r:id="rId22" name="Drop Down 19">
              <controlPr defaultSize="0" autoLine="0" autoPict="0">
                <anchor moveWithCells="1">
                  <from>
                    <xdr:col>3</xdr:col>
                    <xdr:colOff>0</xdr:colOff>
                    <xdr:row>39</xdr:row>
                    <xdr:rowOff>0</xdr:rowOff>
                  </from>
                  <to>
                    <xdr:col>3</xdr:col>
                    <xdr:colOff>1800225</xdr:colOff>
                    <xdr:row>39</xdr:row>
                    <xdr:rowOff>200025</xdr:rowOff>
                  </to>
                </anchor>
              </controlPr>
            </control>
          </mc:Choice>
        </mc:AlternateContent>
        <mc:AlternateContent xmlns:mc="http://schemas.openxmlformats.org/markup-compatibility/2006">
          <mc:Choice Requires="x14">
            <control shapeId="79892" r:id="rId23" name="Drop Down 20">
              <controlPr defaultSize="0" autoLine="0" autoPict="0">
                <anchor moveWithCells="1">
                  <from>
                    <xdr:col>3</xdr:col>
                    <xdr:colOff>0</xdr:colOff>
                    <xdr:row>40</xdr:row>
                    <xdr:rowOff>9525</xdr:rowOff>
                  </from>
                  <to>
                    <xdr:col>3</xdr:col>
                    <xdr:colOff>1800225</xdr:colOff>
                    <xdr:row>40</xdr:row>
                    <xdr:rowOff>209550</xdr:rowOff>
                  </to>
                </anchor>
              </controlPr>
            </control>
          </mc:Choice>
        </mc:AlternateContent>
        <mc:AlternateContent xmlns:mc="http://schemas.openxmlformats.org/markup-compatibility/2006">
          <mc:Choice Requires="x14">
            <control shapeId="79893" r:id="rId24" name="Drop Down 21">
              <controlPr defaultSize="0" autoLine="0" autoPict="0">
                <anchor moveWithCells="1">
                  <from>
                    <xdr:col>3</xdr:col>
                    <xdr:colOff>0</xdr:colOff>
                    <xdr:row>41</xdr:row>
                    <xdr:rowOff>0</xdr:rowOff>
                  </from>
                  <to>
                    <xdr:col>3</xdr:col>
                    <xdr:colOff>1800225</xdr:colOff>
                    <xdr:row>41</xdr:row>
                    <xdr:rowOff>200025</xdr:rowOff>
                  </to>
                </anchor>
              </controlPr>
            </control>
          </mc:Choice>
        </mc:AlternateContent>
        <mc:AlternateContent xmlns:mc="http://schemas.openxmlformats.org/markup-compatibility/2006">
          <mc:Choice Requires="x14">
            <control shapeId="79894" r:id="rId25" name="Drop Down 22">
              <controlPr defaultSize="0" autoLine="0" autoPict="0">
                <anchor moveWithCells="1">
                  <from>
                    <xdr:col>3</xdr:col>
                    <xdr:colOff>0</xdr:colOff>
                    <xdr:row>42</xdr:row>
                    <xdr:rowOff>0</xdr:rowOff>
                  </from>
                  <to>
                    <xdr:col>3</xdr:col>
                    <xdr:colOff>1800225</xdr:colOff>
                    <xdr:row>42</xdr:row>
                    <xdr:rowOff>200025</xdr:rowOff>
                  </to>
                </anchor>
              </controlPr>
            </control>
          </mc:Choice>
        </mc:AlternateContent>
        <mc:AlternateContent xmlns:mc="http://schemas.openxmlformats.org/markup-compatibility/2006">
          <mc:Choice Requires="x14">
            <control shapeId="79895" r:id="rId26" name="Drop Down 23">
              <controlPr defaultSize="0" autoLine="0" autoPict="0">
                <anchor moveWithCells="1">
                  <from>
                    <xdr:col>3</xdr:col>
                    <xdr:colOff>0</xdr:colOff>
                    <xdr:row>44</xdr:row>
                    <xdr:rowOff>0</xdr:rowOff>
                  </from>
                  <to>
                    <xdr:col>3</xdr:col>
                    <xdr:colOff>1800225</xdr:colOff>
                    <xdr:row>44</xdr:row>
                    <xdr:rowOff>200025</xdr:rowOff>
                  </to>
                </anchor>
              </controlPr>
            </control>
          </mc:Choice>
        </mc:AlternateContent>
        <mc:AlternateContent xmlns:mc="http://schemas.openxmlformats.org/markup-compatibility/2006">
          <mc:Choice Requires="x14">
            <control shapeId="79896" r:id="rId27" name="Drop Down 24">
              <controlPr defaultSize="0" autoLine="0" autoPict="0">
                <anchor moveWithCells="1">
                  <from>
                    <xdr:col>3</xdr:col>
                    <xdr:colOff>9525</xdr:colOff>
                    <xdr:row>43</xdr:row>
                    <xdr:rowOff>9525</xdr:rowOff>
                  </from>
                  <to>
                    <xdr:col>3</xdr:col>
                    <xdr:colOff>1800225</xdr:colOff>
                    <xdr:row>43</xdr:row>
                    <xdr:rowOff>200025</xdr:rowOff>
                  </to>
                </anchor>
              </controlPr>
            </control>
          </mc:Choice>
        </mc:AlternateContent>
        <mc:AlternateContent xmlns:mc="http://schemas.openxmlformats.org/markup-compatibility/2006">
          <mc:Choice Requires="x14">
            <control shapeId="79897" r:id="rId28" name="Drop Down 25">
              <controlPr defaultSize="0" autoLine="0" autoPict="0">
                <anchor moveWithCells="1">
                  <from>
                    <xdr:col>3</xdr:col>
                    <xdr:colOff>0</xdr:colOff>
                    <xdr:row>45</xdr:row>
                    <xdr:rowOff>0</xdr:rowOff>
                  </from>
                  <to>
                    <xdr:col>3</xdr:col>
                    <xdr:colOff>1800225</xdr:colOff>
                    <xdr:row>45</xdr:row>
                    <xdr:rowOff>209550</xdr:rowOff>
                  </to>
                </anchor>
              </controlPr>
            </control>
          </mc:Choice>
        </mc:AlternateContent>
        <mc:AlternateContent xmlns:mc="http://schemas.openxmlformats.org/markup-compatibility/2006">
          <mc:Choice Requires="x14">
            <control shapeId="79898" r:id="rId29" name="Drop Down 26">
              <controlPr defaultSize="0" autoLine="0" autoPict="0">
                <anchor moveWithCells="1">
                  <from>
                    <xdr:col>3</xdr:col>
                    <xdr:colOff>0</xdr:colOff>
                    <xdr:row>46</xdr:row>
                    <xdr:rowOff>0</xdr:rowOff>
                  </from>
                  <to>
                    <xdr:col>3</xdr:col>
                    <xdr:colOff>1800225</xdr:colOff>
                    <xdr:row>46</xdr:row>
                    <xdr:rowOff>209550</xdr:rowOff>
                  </to>
                </anchor>
              </controlPr>
            </control>
          </mc:Choice>
        </mc:AlternateContent>
        <mc:AlternateContent xmlns:mc="http://schemas.openxmlformats.org/markup-compatibility/2006">
          <mc:Choice Requires="x14">
            <control shapeId="79899" r:id="rId30" name="Drop Down 27">
              <controlPr defaultSize="0" autoLine="0" autoPict="0">
                <anchor moveWithCells="1">
                  <from>
                    <xdr:col>3</xdr:col>
                    <xdr:colOff>0</xdr:colOff>
                    <xdr:row>47</xdr:row>
                    <xdr:rowOff>0</xdr:rowOff>
                  </from>
                  <to>
                    <xdr:col>3</xdr:col>
                    <xdr:colOff>1800225</xdr:colOff>
                    <xdr:row>47</xdr:row>
                    <xdr:rowOff>200025</xdr:rowOff>
                  </to>
                </anchor>
              </controlPr>
            </control>
          </mc:Choice>
        </mc:AlternateContent>
        <mc:AlternateContent xmlns:mc="http://schemas.openxmlformats.org/markup-compatibility/2006">
          <mc:Choice Requires="x14">
            <control shapeId="79901" r:id="rId31" name="Drop Down 29">
              <controlPr defaultSize="0" autoLine="0" autoPict="0">
                <anchor moveWithCells="1">
                  <from>
                    <xdr:col>3</xdr:col>
                    <xdr:colOff>9525</xdr:colOff>
                    <xdr:row>28</xdr:row>
                    <xdr:rowOff>38100</xdr:rowOff>
                  </from>
                  <to>
                    <xdr:col>3</xdr:col>
                    <xdr:colOff>1809750</xdr:colOff>
                    <xdr:row>29</xdr:row>
                    <xdr:rowOff>47625</xdr:rowOff>
                  </to>
                </anchor>
              </controlPr>
            </control>
          </mc:Choice>
        </mc:AlternateContent>
        <mc:AlternateContent xmlns:mc="http://schemas.openxmlformats.org/markup-compatibility/2006">
          <mc:Choice Requires="x14">
            <control shapeId="79902" r:id="rId32" name="Drop Down 30">
              <controlPr defaultSize="0" autoLine="0" autoPict="0">
                <anchor moveWithCells="1">
                  <from>
                    <xdr:col>2</xdr:col>
                    <xdr:colOff>3638550</xdr:colOff>
                    <xdr:row>6</xdr:row>
                    <xdr:rowOff>0</xdr:rowOff>
                  </from>
                  <to>
                    <xdr:col>3</xdr:col>
                    <xdr:colOff>1800225</xdr:colOff>
                    <xdr:row>7</xdr:row>
                    <xdr:rowOff>9525</xdr:rowOff>
                  </to>
                </anchor>
              </controlPr>
            </control>
          </mc:Choice>
        </mc:AlternateContent>
        <mc:AlternateContent xmlns:mc="http://schemas.openxmlformats.org/markup-compatibility/2006">
          <mc:Choice Requires="x14">
            <control shapeId="79903" r:id="rId33" name="Drop Down 31">
              <controlPr defaultSize="0" autoLine="0" autoPict="0">
                <anchor moveWithCells="1">
                  <from>
                    <xdr:col>3</xdr:col>
                    <xdr:colOff>9525</xdr:colOff>
                    <xdr:row>66</xdr:row>
                    <xdr:rowOff>0</xdr:rowOff>
                  </from>
                  <to>
                    <xdr:col>3</xdr:col>
                    <xdr:colOff>1809750</xdr:colOff>
                    <xdr:row>67</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B779-113F-4047-8E1D-45AB3CAD4915}">
  <sheetPr>
    <tabColor theme="6" tint="0.59999389629810485"/>
  </sheetPr>
  <dimension ref="A1:P84"/>
  <sheetViews>
    <sheetView showGridLines="0" zoomScale="115" zoomScaleNormal="115" workbookViewId="0">
      <pane ySplit="1" topLeftCell="A2" activePane="bottomLeft" state="frozen"/>
      <selection activeCell="C23" sqref="C23"/>
      <selection pane="bottomLeft" activeCell="C12" sqref="C12"/>
    </sheetView>
  </sheetViews>
  <sheetFormatPr defaultRowHeight="15" x14ac:dyDescent="0.25"/>
  <cols>
    <col min="1" max="1" width="5.5703125" style="1" customWidth="1"/>
    <col min="2" max="2" width="3.85546875" customWidth="1"/>
    <col min="3" max="3" width="56.28515625" customWidth="1"/>
    <col min="4" max="4" width="36.42578125" customWidth="1"/>
    <col min="5" max="5" width="63.85546875" customWidth="1"/>
    <col min="6" max="6" width="15.140625" hidden="1" customWidth="1"/>
    <col min="7" max="16" width="9.140625" style="36"/>
  </cols>
  <sheetData>
    <row r="1" spans="1:6" x14ac:dyDescent="0.25">
      <c r="A1" s="35" t="s">
        <v>275</v>
      </c>
      <c r="B1" s="36"/>
      <c r="C1" s="36"/>
      <c r="D1" s="36"/>
      <c r="E1" s="90" t="str">
        <f>"Risk Ranking - "&amp;ROUND('Admin Score'!B26,1)</f>
        <v>Risk Ranking - 15.9</v>
      </c>
      <c r="F1" s="36"/>
    </row>
    <row r="2" spans="1:6" x14ac:dyDescent="0.25">
      <c r="A2" s="35"/>
      <c r="B2" s="36"/>
      <c r="C2" s="36"/>
      <c r="D2" s="36"/>
      <c r="E2" s="98" t="s">
        <v>216</v>
      </c>
      <c r="F2" s="36"/>
    </row>
    <row r="3" spans="1:6" x14ac:dyDescent="0.25">
      <c r="A3" s="19">
        <v>1</v>
      </c>
      <c r="B3" s="20" t="s">
        <v>249</v>
      </c>
      <c r="C3" s="21"/>
      <c r="D3" s="21"/>
      <c r="E3" s="114" t="s">
        <v>266</v>
      </c>
      <c r="F3">
        <v>1</v>
      </c>
    </row>
    <row r="4" spans="1:6" x14ac:dyDescent="0.25">
      <c r="A4" s="22"/>
      <c r="B4" s="23"/>
      <c r="C4" s="24" t="s">
        <v>84</v>
      </c>
      <c r="D4" s="24"/>
      <c r="E4" s="115"/>
    </row>
    <row r="5" spans="1:6" x14ac:dyDescent="0.25">
      <c r="A5" s="22"/>
      <c r="B5" s="23"/>
      <c r="C5" s="24" t="s">
        <v>85</v>
      </c>
      <c r="D5" s="24"/>
      <c r="E5" s="115"/>
    </row>
    <row r="6" spans="1:6" x14ac:dyDescent="0.25">
      <c r="A6" s="22"/>
      <c r="B6" s="23"/>
      <c r="C6" s="24" t="s">
        <v>89</v>
      </c>
      <c r="D6" s="24"/>
      <c r="E6" s="115"/>
    </row>
    <row r="7" spans="1:6" x14ac:dyDescent="0.25">
      <c r="A7" s="25"/>
      <c r="B7" s="6"/>
      <c r="C7" s="26" t="s">
        <v>83</v>
      </c>
      <c r="D7" s="26"/>
      <c r="E7" s="116"/>
    </row>
    <row r="8" spans="1:6" x14ac:dyDescent="0.25">
      <c r="A8" s="35"/>
      <c r="B8" s="36"/>
      <c r="C8" s="36"/>
      <c r="D8" s="36"/>
      <c r="E8" s="36"/>
      <c r="F8" s="36"/>
    </row>
    <row r="9" spans="1:6" x14ac:dyDescent="0.25">
      <c r="A9" s="19">
        <v>2</v>
      </c>
      <c r="B9" s="20" t="s">
        <v>118</v>
      </c>
      <c r="C9" s="21"/>
      <c r="D9" s="21"/>
      <c r="E9" s="107" t="s">
        <v>273</v>
      </c>
      <c r="F9">
        <v>1</v>
      </c>
    </row>
    <row r="10" spans="1:6" ht="15" customHeight="1" x14ac:dyDescent="0.25">
      <c r="A10" s="22"/>
      <c r="B10" s="23"/>
      <c r="C10" s="24" t="s">
        <v>373</v>
      </c>
      <c r="D10" s="24"/>
      <c r="E10" s="108"/>
    </row>
    <row r="11" spans="1:6" x14ac:dyDescent="0.25">
      <c r="A11" s="22"/>
      <c r="B11" s="23"/>
      <c r="C11" s="24" t="s">
        <v>372</v>
      </c>
      <c r="D11" s="24"/>
      <c r="E11" s="108"/>
    </row>
    <row r="12" spans="1:6" ht="15" customHeight="1" x14ac:dyDescent="0.25">
      <c r="A12" s="25"/>
      <c r="B12" s="6"/>
      <c r="C12" s="26" t="s">
        <v>374</v>
      </c>
      <c r="D12" s="26"/>
      <c r="E12" s="109"/>
    </row>
    <row r="13" spans="1:6" x14ac:dyDescent="0.25">
      <c r="A13" s="35"/>
      <c r="B13" s="36"/>
      <c r="C13" s="36"/>
      <c r="D13" s="36"/>
      <c r="E13" s="36"/>
      <c r="F13" s="36"/>
    </row>
    <row r="14" spans="1:6" ht="15" customHeight="1" x14ac:dyDescent="0.25">
      <c r="A14" s="19">
        <v>3</v>
      </c>
      <c r="B14" s="20" t="s">
        <v>86</v>
      </c>
      <c r="C14" s="21"/>
      <c r="D14" s="21"/>
      <c r="E14" s="118" t="s">
        <v>274</v>
      </c>
      <c r="F14">
        <v>1</v>
      </c>
    </row>
    <row r="15" spans="1:6" x14ac:dyDescent="0.25">
      <c r="A15" s="22"/>
      <c r="B15" s="23"/>
      <c r="C15" s="23" t="s">
        <v>2</v>
      </c>
      <c r="D15" s="23"/>
      <c r="E15" s="119"/>
    </row>
    <row r="16" spans="1:6" x14ac:dyDescent="0.25">
      <c r="A16" s="25"/>
      <c r="B16" s="6"/>
      <c r="C16" s="6" t="s">
        <v>0</v>
      </c>
      <c r="D16" s="6"/>
      <c r="E16" s="120"/>
    </row>
    <row r="17" spans="1:6" x14ac:dyDescent="0.25">
      <c r="A17" s="35"/>
      <c r="B17" s="36"/>
      <c r="C17" s="36"/>
      <c r="D17" s="36"/>
      <c r="E17" s="36"/>
      <c r="F17" s="36"/>
    </row>
    <row r="18" spans="1:6" x14ac:dyDescent="0.25">
      <c r="A18" s="19">
        <v>4</v>
      </c>
      <c r="B18" s="20" t="s">
        <v>223</v>
      </c>
      <c r="C18" s="21"/>
      <c r="D18" s="21"/>
      <c r="E18" s="110" t="s">
        <v>218</v>
      </c>
      <c r="F18">
        <v>1</v>
      </c>
    </row>
    <row r="19" spans="1:6" x14ac:dyDescent="0.25">
      <c r="A19" s="22"/>
      <c r="B19" s="23"/>
      <c r="C19" s="23" t="s">
        <v>2</v>
      </c>
      <c r="D19" s="23"/>
      <c r="E19" s="111"/>
    </row>
    <row r="20" spans="1:6" x14ac:dyDescent="0.25">
      <c r="A20" s="25"/>
      <c r="B20" s="6"/>
      <c r="C20" s="6" t="s">
        <v>0</v>
      </c>
      <c r="D20" s="6"/>
      <c r="E20" s="112"/>
    </row>
    <row r="21" spans="1:6" x14ac:dyDescent="0.25">
      <c r="A21" s="35"/>
      <c r="B21" s="36"/>
      <c r="C21" s="36"/>
      <c r="D21" s="36"/>
      <c r="E21" s="36"/>
      <c r="F21" s="36"/>
    </row>
    <row r="22" spans="1:6" x14ac:dyDescent="0.25">
      <c r="A22" s="19">
        <v>5</v>
      </c>
      <c r="B22" s="20" t="s">
        <v>119</v>
      </c>
      <c r="C22" s="21"/>
      <c r="D22" s="21"/>
      <c r="E22" s="27"/>
      <c r="F22">
        <v>1</v>
      </c>
    </row>
    <row r="23" spans="1:6" x14ac:dyDescent="0.25">
      <c r="A23" s="22"/>
      <c r="B23" s="23"/>
      <c r="C23" s="23" t="s">
        <v>2</v>
      </c>
      <c r="D23" s="28"/>
      <c r="E23" s="29"/>
    </row>
    <row r="24" spans="1:6" x14ac:dyDescent="0.25">
      <c r="A24" s="25"/>
      <c r="B24" s="6"/>
      <c r="C24" s="6" t="s">
        <v>0</v>
      </c>
      <c r="D24" s="30"/>
      <c r="E24" s="31"/>
      <c r="F24" s="36"/>
    </row>
    <row r="25" spans="1:6" x14ac:dyDescent="0.25">
      <c r="A25" s="35"/>
      <c r="B25" s="38"/>
      <c r="C25" s="36"/>
      <c r="D25" s="36"/>
      <c r="E25" s="36"/>
      <c r="F25" s="36"/>
    </row>
    <row r="26" spans="1:6" x14ac:dyDescent="0.25">
      <c r="A26" s="19">
        <v>6</v>
      </c>
      <c r="B26" s="20" t="s">
        <v>82</v>
      </c>
      <c r="C26" s="21"/>
      <c r="D26" s="21"/>
      <c r="E26" s="118" t="s">
        <v>276</v>
      </c>
      <c r="F26">
        <v>2</v>
      </c>
    </row>
    <row r="27" spans="1:6" x14ac:dyDescent="0.25">
      <c r="A27" s="22"/>
      <c r="B27" s="23"/>
      <c r="C27" s="23" t="s">
        <v>445</v>
      </c>
      <c r="D27" s="23"/>
      <c r="E27" s="119"/>
    </row>
    <row r="28" spans="1:6" ht="15" customHeight="1" x14ac:dyDescent="0.25">
      <c r="A28" s="25"/>
      <c r="B28" s="6"/>
      <c r="C28" s="6" t="s">
        <v>120</v>
      </c>
      <c r="D28" s="6"/>
      <c r="E28" s="120"/>
    </row>
    <row r="29" spans="1:6" x14ac:dyDescent="0.25">
      <c r="A29" s="35"/>
      <c r="B29" s="36"/>
      <c r="C29" s="36"/>
      <c r="D29" s="36"/>
      <c r="E29" s="36"/>
      <c r="F29" s="36"/>
    </row>
    <row r="30" spans="1:6" x14ac:dyDescent="0.25">
      <c r="A30" s="19">
        <v>7</v>
      </c>
      <c r="B30" s="20" t="s">
        <v>122</v>
      </c>
      <c r="C30" s="21"/>
      <c r="D30" s="21"/>
      <c r="E30" s="110" t="s">
        <v>220</v>
      </c>
      <c r="F30">
        <v>20</v>
      </c>
    </row>
    <row r="31" spans="1:6" x14ac:dyDescent="0.25">
      <c r="A31" s="25"/>
      <c r="B31" s="6"/>
      <c r="C31" s="6"/>
      <c r="D31" s="6"/>
      <c r="E31" s="112"/>
    </row>
    <row r="32" spans="1:6" x14ac:dyDescent="0.25">
      <c r="A32" s="39"/>
      <c r="B32" s="40"/>
      <c r="C32" s="40"/>
      <c r="D32" s="40"/>
      <c r="E32" s="41"/>
      <c r="F32" s="36"/>
    </row>
    <row r="33" spans="1:6" x14ac:dyDescent="0.25">
      <c r="A33" s="19">
        <v>8</v>
      </c>
      <c r="B33" s="20" t="s">
        <v>376</v>
      </c>
      <c r="C33" s="21"/>
      <c r="D33" s="21"/>
      <c r="E33" s="110" t="s">
        <v>378</v>
      </c>
      <c r="F33">
        <v>1</v>
      </c>
    </row>
    <row r="34" spans="1:6" x14ac:dyDescent="0.25">
      <c r="A34" s="25"/>
      <c r="B34" s="6"/>
      <c r="C34" s="6"/>
      <c r="D34" s="6"/>
      <c r="E34" s="112"/>
    </row>
    <row r="35" spans="1:6" x14ac:dyDescent="0.25">
      <c r="A35" s="39"/>
      <c r="B35" s="40"/>
      <c r="C35" s="40"/>
      <c r="D35" s="40"/>
      <c r="E35" s="41"/>
      <c r="F35" s="36"/>
    </row>
    <row r="36" spans="1:6" x14ac:dyDescent="0.25">
      <c r="A36" s="19">
        <v>9</v>
      </c>
      <c r="B36" s="20" t="s">
        <v>204</v>
      </c>
      <c r="C36" s="21"/>
      <c r="D36" s="21"/>
      <c r="E36" s="27"/>
    </row>
    <row r="37" spans="1:6" x14ac:dyDescent="0.25">
      <c r="A37" s="22"/>
      <c r="B37" s="23"/>
      <c r="C37" s="23" t="s">
        <v>448</v>
      </c>
      <c r="D37" s="23"/>
      <c r="E37" s="106" t="s">
        <v>221</v>
      </c>
      <c r="F37">
        <v>1</v>
      </c>
    </row>
    <row r="38" spans="1:6" x14ac:dyDescent="0.25">
      <c r="A38" s="22"/>
      <c r="B38" s="23"/>
      <c r="C38" s="23"/>
      <c r="D38" s="32"/>
      <c r="E38" s="106"/>
    </row>
    <row r="39" spans="1:6" x14ac:dyDescent="0.25">
      <c r="A39" s="22"/>
      <c r="B39" s="23"/>
      <c r="C39" s="32" t="s">
        <v>453</v>
      </c>
      <c r="D39" s="32"/>
      <c r="E39" s="106"/>
      <c r="F39">
        <v>1</v>
      </c>
    </row>
    <row r="40" spans="1:6" x14ac:dyDescent="0.25">
      <c r="A40" s="22"/>
      <c r="B40" s="23"/>
      <c r="C40" s="23"/>
      <c r="D40" s="32"/>
      <c r="E40" s="106"/>
    </row>
    <row r="41" spans="1:6" x14ac:dyDescent="0.25">
      <c r="A41" s="22"/>
      <c r="B41" s="32"/>
      <c r="C41" s="32" t="s">
        <v>454</v>
      </c>
      <c r="D41" s="23"/>
      <c r="E41" s="106"/>
      <c r="F41">
        <v>1</v>
      </c>
    </row>
    <row r="42" spans="1:6" x14ac:dyDescent="0.25">
      <c r="A42" s="22"/>
      <c r="B42" s="32"/>
      <c r="C42" s="23"/>
      <c r="D42" s="23"/>
      <c r="E42" s="106"/>
    </row>
    <row r="43" spans="1:6" x14ac:dyDescent="0.25">
      <c r="A43" s="22"/>
      <c r="B43" s="32"/>
      <c r="C43" s="32" t="s">
        <v>455</v>
      </c>
      <c r="D43" s="23"/>
      <c r="E43" s="106"/>
      <c r="F43">
        <v>1</v>
      </c>
    </row>
    <row r="44" spans="1:6" x14ac:dyDescent="0.25">
      <c r="A44" s="22"/>
      <c r="B44" s="32"/>
      <c r="C44" s="32"/>
      <c r="D44" s="23"/>
      <c r="E44" s="76"/>
    </row>
    <row r="45" spans="1:6" x14ac:dyDescent="0.25">
      <c r="A45" s="22"/>
      <c r="B45" s="32"/>
      <c r="C45" s="32" t="s">
        <v>456</v>
      </c>
      <c r="D45" s="23"/>
      <c r="E45" s="76"/>
      <c r="F45">
        <v>1</v>
      </c>
    </row>
    <row r="46" spans="1:6" x14ac:dyDescent="0.25">
      <c r="A46" s="25"/>
      <c r="B46" s="33"/>
      <c r="C46" s="6"/>
      <c r="D46" s="6"/>
      <c r="E46" s="34"/>
    </row>
    <row r="47" spans="1:6" x14ac:dyDescent="0.25">
      <c r="A47" s="35"/>
      <c r="B47" s="36"/>
      <c r="C47" s="36"/>
      <c r="D47" s="36"/>
      <c r="E47" s="36"/>
      <c r="F47" s="36"/>
    </row>
    <row r="48" spans="1:6" x14ac:dyDescent="0.25">
      <c r="A48" s="35"/>
      <c r="B48" s="36"/>
      <c r="C48" s="36"/>
      <c r="D48" s="36"/>
      <c r="E48" s="36"/>
      <c r="F48" s="36"/>
    </row>
    <row r="49" spans="1:6" x14ac:dyDescent="0.25">
      <c r="A49" s="35"/>
      <c r="B49" s="36"/>
      <c r="C49" s="36"/>
      <c r="D49" s="36"/>
      <c r="E49" s="36"/>
      <c r="F49" s="36"/>
    </row>
    <row r="50" spans="1:6" x14ac:dyDescent="0.25">
      <c r="A50" s="35"/>
      <c r="B50" s="36"/>
      <c r="C50" s="36"/>
      <c r="D50" s="36"/>
      <c r="E50" s="36"/>
      <c r="F50" s="36"/>
    </row>
    <row r="51" spans="1:6" x14ac:dyDescent="0.25">
      <c r="A51" s="35"/>
      <c r="B51" s="36"/>
      <c r="C51" s="36"/>
      <c r="D51" s="36"/>
      <c r="E51" s="36"/>
      <c r="F51" s="36"/>
    </row>
    <row r="52" spans="1:6" x14ac:dyDescent="0.25">
      <c r="A52" s="35"/>
      <c r="B52" s="36"/>
      <c r="C52" s="36"/>
      <c r="D52" s="36"/>
      <c r="E52" s="36"/>
      <c r="F52" s="36"/>
    </row>
    <row r="53" spans="1:6" x14ac:dyDescent="0.25">
      <c r="A53" s="35"/>
      <c r="B53" s="36"/>
      <c r="C53" s="36"/>
      <c r="D53" s="36"/>
      <c r="E53" s="36"/>
      <c r="F53" s="36"/>
    </row>
    <row r="54" spans="1:6" x14ac:dyDescent="0.25">
      <c r="A54" s="35"/>
      <c r="B54" s="36"/>
      <c r="C54" s="36"/>
      <c r="D54" s="36"/>
      <c r="E54" s="36"/>
    </row>
    <row r="55" spans="1:6" x14ac:dyDescent="0.25">
      <c r="A55" s="35"/>
      <c r="B55" s="36"/>
      <c r="C55" s="36"/>
      <c r="D55" s="36"/>
      <c r="E55" s="36"/>
    </row>
    <row r="56" spans="1:6" x14ac:dyDescent="0.25">
      <c r="A56" s="35"/>
      <c r="B56" s="36"/>
      <c r="C56" s="36"/>
      <c r="D56" s="36"/>
      <c r="E56" s="36"/>
    </row>
    <row r="57" spans="1:6" x14ac:dyDescent="0.25">
      <c r="A57" s="35"/>
      <c r="B57" s="36"/>
      <c r="C57" s="36"/>
      <c r="D57" s="36"/>
      <c r="E57" s="36"/>
    </row>
    <row r="58" spans="1:6" x14ac:dyDescent="0.25">
      <c r="A58" s="35"/>
      <c r="B58" s="36"/>
      <c r="C58" s="36"/>
      <c r="D58" s="36"/>
      <c r="E58" s="36"/>
    </row>
    <row r="59" spans="1:6" x14ac:dyDescent="0.25">
      <c r="A59" s="35"/>
      <c r="B59" s="36"/>
      <c r="C59" s="36"/>
      <c r="D59" s="36"/>
      <c r="E59" s="36"/>
    </row>
    <row r="60" spans="1:6" x14ac:dyDescent="0.25">
      <c r="A60" s="35"/>
      <c r="B60" s="36"/>
      <c r="C60" s="36"/>
      <c r="D60" s="36"/>
      <c r="E60" s="36"/>
    </row>
    <row r="61" spans="1:6" x14ac:dyDescent="0.25">
      <c r="A61" s="35"/>
      <c r="B61" s="36"/>
      <c r="C61" s="36"/>
      <c r="D61" s="36"/>
      <c r="E61" s="36"/>
    </row>
    <row r="62" spans="1:6" x14ac:dyDescent="0.25">
      <c r="A62" s="35"/>
      <c r="B62" s="36"/>
      <c r="C62" s="36"/>
      <c r="D62" s="36"/>
      <c r="E62" s="36"/>
    </row>
    <row r="63" spans="1:6" x14ac:dyDescent="0.25">
      <c r="A63" s="35"/>
      <c r="B63" s="36"/>
      <c r="C63" s="36"/>
      <c r="D63" s="36"/>
      <c r="E63" s="36"/>
    </row>
    <row r="64" spans="1:6" x14ac:dyDescent="0.25">
      <c r="A64" s="35"/>
      <c r="B64" s="36"/>
      <c r="C64" s="36"/>
      <c r="D64" s="36"/>
      <c r="E64" s="36"/>
    </row>
    <row r="65" spans="1:5" x14ac:dyDescent="0.25">
      <c r="A65" s="35"/>
      <c r="B65" s="36"/>
      <c r="C65" s="36"/>
      <c r="D65" s="36"/>
      <c r="E65" s="36"/>
    </row>
    <row r="66" spans="1:5" x14ac:dyDescent="0.25">
      <c r="A66" s="35"/>
      <c r="B66" s="36"/>
      <c r="C66" s="36"/>
      <c r="D66" s="36"/>
      <c r="E66" s="36"/>
    </row>
    <row r="67" spans="1:5" x14ac:dyDescent="0.25">
      <c r="A67" s="35"/>
      <c r="B67" s="36"/>
      <c r="C67" s="36"/>
      <c r="D67" s="36"/>
      <c r="E67" s="36"/>
    </row>
    <row r="68" spans="1:5" x14ac:dyDescent="0.25">
      <c r="A68" s="35"/>
      <c r="B68" s="36"/>
      <c r="C68" s="36"/>
      <c r="D68" s="36"/>
      <c r="E68" s="36"/>
    </row>
    <row r="69" spans="1:5" x14ac:dyDescent="0.25">
      <c r="A69" s="35"/>
      <c r="B69" s="36"/>
      <c r="C69" s="36"/>
      <c r="D69" s="36"/>
      <c r="E69" s="36"/>
    </row>
    <row r="70" spans="1:5" x14ac:dyDescent="0.25">
      <c r="A70" s="35"/>
      <c r="B70" s="36"/>
      <c r="C70" s="36"/>
      <c r="D70" s="36"/>
      <c r="E70" s="36"/>
    </row>
    <row r="71" spans="1:5" x14ac:dyDescent="0.25">
      <c r="A71" s="35"/>
      <c r="B71" s="36"/>
      <c r="C71" s="36"/>
      <c r="D71" s="36"/>
      <c r="E71" s="36"/>
    </row>
    <row r="72" spans="1:5" x14ac:dyDescent="0.25">
      <c r="A72" s="35"/>
      <c r="B72" s="36"/>
      <c r="C72" s="36"/>
      <c r="D72" s="36"/>
      <c r="E72" s="36"/>
    </row>
    <row r="73" spans="1:5" x14ac:dyDescent="0.25">
      <c r="A73" s="35"/>
      <c r="B73" s="36"/>
      <c r="C73" s="36"/>
      <c r="D73" s="36"/>
      <c r="E73" s="36"/>
    </row>
    <row r="74" spans="1:5" x14ac:dyDescent="0.25">
      <c r="A74" s="35"/>
      <c r="B74" s="36"/>
      <c r="C74" s="36"/>
      <c r="D74" s="36"/>
      <c r="E74" s="36"/>
    </row>
    <row r="75" spans="1:5" x14ac:dyDescent="0.25">
      <c r="A75" s="35"/>
      <c r="B75" s="36"/>
      <c r="C75" s="36"/>
      <c r="D75" s="36"/>
      <c r="E75" s="36"/>
    </row>
    <row r="76" spans="1:5" x14ac:dyDescent="0.25">
      <c r="A76" s="35"/>
      <c r="B76" s="36"/>
      <c r="C76" s="36"/>
      <c r="D76" s="36"/>
      <c r="E76" s="36"/>
    </row>
    <row r="77" spans="1:5" x14ac:dyDescent="0.25">
      <c r="A77" s="35"/>
      <c r="B77" s="36"/>
      <c r="C77" s="36"/>
      <c r="D77" s="36"/>
      <c r="E77" s="36"/>
    </row>
    <row r="78" spans="1:5" x14ac:dyDescent="0.25">
      <c r="A78" s="35"/>
      <c r="B78" s="36"/>
      <c r="C78" s="36"/>
      <c r="D78" s="36"/>
      <c r="E78" s="36"/>
    </row>
    <row r="79" spans="1:5" x14ac:dyDescent="0.25">
      <c r="A79" s="35"/>
      <c r="B79" s="36"/>
      <c r="C79" s="36"/>
      <c r="D79" s="36"/>
      <c r="E79" s="36"/>
    </row>
    <row r="80" spans="1:5" x14ac:dyDescent="0.25">
      <c r="A80" s="35"/>
      <c r="B80" s="36"/>
      <c r="C80" s="36"/>
      <c r="D80" s="36"/>
      <c r="E80" s="36"/>
    </row>
    <row r="81" spans="1:5" x14ac:dyDescent="0.25">
      <c r="A81" s="35"/>
      <c r="B81" s="36"/>
      <c r="C81" s="36"/>
      <c r="D81" s="36"/>
      <c r="E81" s="36"/>
    </row>
    <row r="82" spans="1:5" x14ac:dyDescent="0.25">
      <c r="A82" s="35"/>
      <c r="B82" s="36"/>
      <c r="C82" s="36"/>
      <c r="D82" s="36"/>
      <c r="E82" s="36"/>
    </row>
    <row r="83" spans="1:5" x14ac:dyDescent="0.25">
      <c r="A83" s="35"/>
      <c r="B83" s="36"/>
      <c r="C83" s="36"/>
      <c r="D83" s="36"/>
      <c r="E83" s="36"/>
    </row>
    <row r="84" spans="1:5" x14ac:dyDescent="0.25">
      <c r="A84" s="35"/>
      <c r="B84" s="36"/>
      <c r="C84" s="36"/>
      <c r="D84" s="36"/>
      <c r="E84" s="36"/>
    </row>
  </sheetData>
  <mergeCells count="8">
    <mergeCell ref="E37:E43"/>
    <mergeCell ref="E3:E7"/>
    <mergeCell ref="E9:E12"/>
    <mergeCell ref="E14:E16"/>
    <mergeCell ref="E18:E20"/>
    <mergeCell ref="E26:E28"/>
    <mergeCell ref="E30:E31"/>
    <mergeCell ref="E33:E34"/>
  </mergeCells>
  <pageMargins left="0.7" right="0.7" top="0.75" bottom="0.75" header="0.3" footer="0.3"/>
  <pageSetup paperSize="9" orientation="portrait" horizontalDpi="4294967292"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Drop Down 1">
              <controlPr defaultSize="0" autoLine="0" autoPict="0">
                <anchor moveWithCells="1">
                  <from>
                    <xdr:col>3</xdr:col>
                    <xdr:colOff>9525</xdr:colOff>
                    <xdr:row>2</xdr:row>
                    <xdr:rowOff>38100</xdr:rowOff>
                  </from>
                  <to>
                    <xdr:col>3</xdr:col>
                    <xdr:colOff>1809750</xdr:colOff>
                    <xdr:row>3</xdr:row>
                    <xdr:rowOff>47625</xdr:rowOff>
                  </to>
                </anchor>
              </controlPr>
            </control>
          </mc:Choice>
        </mc:AlternateContent>
        <mc:AlternateContent xmlns:mc="http://schemas.openxmlformats.org/markup-compatibility/2006">
          <mc:Choice Requires="x14">
            <control shapeId="83970" r:id="rId5" name="Drop Down 2">
              <controlPr defaultSize="0" autoLine="0" autoPict="0">
                <anchor moveWithCells="1">
                  <from>
                    <xdr:col>3</xdr:col>
                    <xdr:colOff>0</xdr:colOff>
                    <xdr:row>8</xdr:row>
                    <xdr:rowOff>57150</xdr:rowOff>
                  </from>
                  <to>
                    <xdr:col>3</xdr:col>
                    <xdr:colOff>1809750</xdr:colOff>
                    <xdr:row>9</xdr:row>
                    <xdr:rowOff>66675</xdr:rowOff>
                  </to>
                </anchor>
              </controlPr>
            </control>
          </mc:Choice>
        </mc:AlternateContent>
        <mc:AlternateContent xmlns:mc="http://schemas.openxmlformats.org/markup-compatibility/2006">
          <mc:Choice Requires="x14">
            <control shapeId="83971" r:id="rId6" name="Drop Down 3">
              <controlPr defaultSize="0" autoLine="0" autoPict="0">
                <anchor moveWithCells="1">
                  <from>
                    <xdr:col>3</xdr:col>
                    <xdr:colOff>9525</xdr:colOff>
                    <xdr:row>13</xdr:row>
                    <xdr:rowOff>28575</xdr:rowOff>
                  </from>
                  <to>
                    <xdr:col>3</xdr:col>
                    <xdr:colOff>1809750</xdr:colOff>
                    <xdr:row>14</xdr:row>
                    <xdr:rowOff>38100</xdr:rowOff>
                  </to>
                </anchor>
              </controlPr>
            </control>
          </mc:Choice>
        </mc:AlternateContent>
        <mc:AlternateContent xmlns:mc="http://schemas.openxmlformats.org/markup-compatibility/2006">
          <mc:Choice Requires="x14">
            <control shapeId="83972" r:id="rId7" name="Drop Down 4">
              <controlPr defaultSize="0" autoLine="0" autoPict="0">
                <anchor moveWithCells="1">
                  <from>
                    <xdr:col>3</xdr:col>
                    <xdr:colOff>9525</xdr:colOff>
                    <xdr:row>17</xdr:row>
                    <xdr:rowOff>38100</xdr:rowOff>
                  </from>
                  <to>
                    <xdr:col>3</xdr:col>
                    <xdr:colOff>1809750</xdr:colOff>
                    <xdr:row>18</xdr:row>
                    <xdr:rowOff>47625</xdr:rowOff>
                  </to>
                </anchor>
              </controlPr>
            </control>
          </mc:Choice>
        </mc:AlternateContent>
        <mc:AlternateContent xmlns:mc="http://schemas.openxmlformats.org/markup-compatibility/2006">
          <mc:Choice Requires="x14">
            <control shapeId="83973" r:id="rId8" name="Drop Down 5">
              <controlPr defaultSize="0" autoLine="0" autoPict="0">
                <anchor moveWithCells="1">
                  <from>
                    <xdr:col>3</xdr:col>
                    <xdr:colOff>9525</xdr:colOff>
                    <xdr:row>21</xdr:row>
                    <xdr:rowOff>28575</xdr:rowOff>
                  </from>
                  <to>
                    <xdr:col>3</xdr:col>
                    <xdr:colOff>1809750</xdr:colOff>
                    <xdr:row>22</xdr:row>
                    <xdr:rowOff>38100</xdr:rowOff>
                  </to>
                </anchor>
              </controlPr>
            </control>
          </mc:Choice>
        </mc:AlternateContent>
        <mc:AlternateContent xmlns:mc="http://schemas.openxmlformats.org/markup-compatibility/2006">
          <mc:Choice Requires="x14">
            <control shapeId="83974" r:id="rId9" name="Drop Down 6">
              <controlPr defaultSize="0" autoLine="0" autoPict="0">
                <anchor moveWithCells="1">
                  <from>
                    <xdr:col>3</xdr:col>
                    <xdr:colOff>9525</xdr:colOff>
                    <xdr:row>25</xdr:row>
                    <xdr:rowOff>28575</xdr:rowOff>
                  </from>
                  <to>
                    <xdr:col>3</xdr:col>
                    <xdr:colOff>1809750</xdr:colOff>
                    <xdr:row>26</xdr:row>
                    <xdr:rowOff>38100</xdr:rowOff>
                  </to>
                </anchor>
              </controlPr>
            </control>
          </mc:Choice>
        </mc:AlternateContent>
        <mc:AlternateContent xmlns:mc="http://schemas.openxmlformats.org/markup-compatibility/2006">
          <mc:Choice Requires="x14">
            <control shapeId="83975" r:id="rId10" name="Drop Down 7">
              <controlPr defaultSize="0" autoLine="0" autoPict="0">
                <anchor moveWithCells="1">
                  <from>
                    <xdr:col>3</xdr:col>
                    <xdr:colOff>9525</xdr:colOff>
                    <xdr:row>29</xdr:row>
                    <xdr:rowOff>38100</xdr:rowOff>
                  </from>
                  <to>
                    <xdr:col>3</xdr:col>
                    <xdr:colOff>1809750</xdr:colOff>
                    <xdr:row>30</xdr:row>
                    <xdr:rowOff>47625</xdr:rowOff>
                  </to>
                </anchor>
              </controlPr>
            </control>
          </mc:Choice>
        </mc:AlternateContent>
        <mc:AlternateContent xmlns:mc="http://schemas.openxmlformats.org/markup-compatibility/2006">
          <mc:Choice Requires="x14">
            <control shapeId="83976" r:id="rId11" name="Drop Down 8">
              <controlPr defaultSize="0" autoLine="0" autoPict="0">
                <anchor moveWithCells="1">
                  <from>
                    <xdr:col>3</xdr:col>
                    <xdr:colOff>9525</xdr:colOff>
                    <xdr:row>36</xdr:row>
                    <xdr:rowOff>0</xdr:rowOff>
                  </from>
                  <to>
                    <xdr:col>3</xdr:col>
                    <xdr:colOff>1809750</xdr:colOff>
                    <xdr:row>37</xdr:row>
                    <xdr:rowOff>9525</xdr:rowOff>
                  </to>
                </anchor>
              </controlPr>
            </control>
          </mc:Choice>
        </mc:AlternateContent>
        <mc:AlternateContent xmlns:mc="http://schemas.openxmlformats.org/markup-compatibility/2006">
          <mc:Choice Requires="x14">
            <control shapeId="83977" r:id="rId12" name="Drop Down 9">
              <controlPr defaultSize="0" autoLine="0" autoPict="0">
                <anchor moveWithCells="1">
                  <from>
                    <xdr:col>3</xdr:col>
                    <xdr:colOff>9525</xdr:colOff>
                    <xdr:row>38</xdr:row>
                    <xdr:rowOff>0</xdr:rowOff>
                  </from>
                  <to>
                    <xdr:col>3</xdr:col>
                    <xdr:colOff>1809750</xdr:colOff>
                    <xdr:row>39</xdr:row>
                    <xdr:rowOff>9525</xdr:rowOff>
                  </to>
                </anchor>
              </controlPr>
            </control>
          </mc:Choice>
        </mc:AlternateContent>
        <mc:AlternateContent xmlns:mc="http://schemas.openxmlformats.org/markup-compatibility/2006">
          <mc:Choice Requires="x14">
            <control shapeId="83978" r:id="rId13" name="Drop Down 10">
              <controlPr defaultSize="0" autoLine="0" autoPict="0">
                <anchor moveWithCells="1">
                  <from>
                    <xdr:col>3</xdr:col>
                    <xdr:colOff>9525</xdr:colOff>
                    <xdr:row>39</xdr:row>
                    <xdr:rowOff>180975</xdr:rowOff>
                  </from>
                  <to>
                    <xdr:col>3</xdr:col>
                    <xdr:colOff>1809750</xdr:colOff>
                    <xdr:row>41</xdr:row>
                    <xdr:rowOff>0</xdr:rowOff>
                  </to>
                </anchor>
              </controlPr>
            </control>
          </mc:Choice>
        </mc:AlternateContent>
        <mc:AlternateContent xmlns:mc="http://schemas.openxmlformats.org/markup-compatibility/2006">
          <mc:Choice Requires="x14">
            <control shapeId="83979" r:id="rId14" name="Drop Down 11">
              <controlPr defaultSize="0" autoLine="0" autoPict="0">
                <anchor moveWithCells="1">
                  <from>
                    <xdr:col>3</xdr:col>
                    <xdr:colOff>9525</xdr:colOff>
                    <xdr:row>42</xdr:row>
                    <xdr:rowOff>0</xdr:rowOff>
                  </from>
                  <to>
                    <xdr:col>3</xdr:col>
                    <xdr:colOff>1809750</xdr:colOff>
                    <xdr:row>43</xdr:row>
                    <xdr:rowOff>9525</xdr:rowOff>
                  </to>
                </anchor>
              </controlPr>
            </control>
          </mc:Choice>
        </mc:AlternateContent>
        <mc:AlternateContent xmlns:mc="http://schemas.openxmlformats.org/markup-compatibility/2006">
          <mc:Choice Requires="x14">
            <control shapeId="83980" r:id="rId15" name="Drop Down 12">
              <controlPr defaultSize="0" autoLine="0" autoPict="0">
                <anchor moveWithCells="1">
                  <from>
                    <xdr:col>3</xdr:col>
                    <xdr:colOff>9525</xdr:colOff>
                    <xdr:row>44</xdr:row>
                    <xdr:rowOff>0</xdr:rowOff>
                  </from>
                  <to>
                    <xdr:col>3</xdr:col>
                    <xdr:colOff>1809750</xdr:colOff>
                    <xdr:row>45</xdr:row>
                    <xdr:rowOff>9525</xdr:rowOff>
                  </to>
                </anchor>
              </controlPr>
            </control>
          </mc:Choice>
        </mc:AlternateContent>
        <mc:AlternateContent xmlns:mc="http://schemas.openxmlformats.org/markup-compatibility/2006">
          <mc:Choice Requires="x14">
            <control shapeId="83981" r:id="rId16" name="Drop Down 13">
              <controlPr defaultSize="0" autoLine="0" autoPict="0">
                <anchor moveWithCells="1">
                  <from>
                    <xdr:col>3</xdr:col>
                    <xdr:colOff>9525</xdr:colOff>
                    <xdr:row>32</xdr:row>
                    <xdr:rowOff>38100</xdr:rowOff>
                  </from>
                  <to>
                    <xdr:col>3</xdr:col>
                    <xdr:colOff>1809750</xdr:colOff>
                    <xdr:row>33</xdr:row>
                    <xdr:rowOff>47625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B7085-B1A2-4514-8AAF-25E1AEB80E32}">
  <sheetPr>
    <tabColor theme="9" tint="0.39997558519241921"/>
  </sheetPr>
  <dimension ref="T55"/>
  <sheetViews>
    <sheetView topLeftCell="A29" workbookViewId="0">
      <selection activeCell="H3" sqref="H3"/>
    </sheetView>
  </sheetViews>
  <sheetFormatPr defaultRowHeight="15" x14ac:dyDescent="0.25"/>
  <sheetData>
    <row r="55" spans="20:20" x14ac:dyDescent="0.25">
      <c r="T55" t="s">
        <v>47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76BD7-4A9E-4577-BF2A-A92AB41D3773}">
  <sheetPr>
    <tabColor theme="9" tint="0.39997558519241921"/>
  </sheetPr>
  <dimension ref="A1:R21"/>
  <sheetViews>
    <sheetView showGridLines="0" workbookViewId="0">
      <selection activeCell="H3" sqref="H3"/>
    </sheetView>
  </sheetViews>
  <sheetFormatPr defaultRowHeight="15" x14ac:dyDescent="0.25"/>
  <cols>
    <col min="1" max="1" width="12.7109375" customWidth="1"/>
    <col min="2" max="2" width="17.5703125" customWidth="1"/>
    <col min="3" max="3" width="3.140625" customWidth="1"/>
    <col min="4" max="4" width="17.5703125" customWidth="1"/>
    <col min="5" max="5" width="3.140625" customWidth="1"/>
    <col min="6" max="6" width="20.85546875" customWidth="1"/>
    <col min="7" max="7" width="3.140625" customWidth="1"/>
    <col min="8" max="8" width="20.85546875" customWidth="1"/>
    <col min="9" max="9" width="3.140625" customWidth="1"/>
    <col min="10" max="10" width="20.85546875" customWidth="1"/>
    <col min="11" max="11" width="3.140625" customWidth="1"/>
    <col min="12" max="12" width="20.28515625" customWidth="1"/>
    <col min="13" max="13" width="3.140625" customWidth="1"/>
    <col min="14" max="14" width="24" customWidth="1"/>
    <col min="15" max="15" width="3.140625" customWidth="1"/>
    <col min="16" max="16" width="19.5703125" customWidth="1"/>
    <col min="17" max="17" width="3.42578125" customWidth="1"/>
    <col min="18" max="18" width="20" customWidth="1"/>
  </cols>
  <sheetData>
    <row r="1" spans="1:18" x14ac:dyDescent="0.25">
      <c r="A1" s="1" t="s">
        <v>365</v>
      </c>
    </row>
    <row r="2" spans="1:18" x14ac:dyDescent="0.25">
      <c r="A2" s="1"/>
    </row>
    <row r="3" spans="1:18" ht="59.25" customHeight="1" x14ac:dyDescent="0.25">
      <c r="A3" s="73" t="s">
        <v>370</v>
      </c>
      <c r="B3" s="67" t="s">
        <v>309</v>
      </c>
      <c r="D3" s="67" t="s">
        <v>152</v>
      </c>
      <c r="F3" s="67" t="s">
        <v>310</v>
      </c>
      <c r="H3" s="67" t="s">
        <v>311</v>
      </c>
      <c r="J3" s="67" t="s">
        <v>312</v>
      </c>
      <c r="L3" s="67" t="s">
        <v>313</v>
      </c>
      <c r="N3" s="67" t="s">
        <v>314</v>
      </c>
      <c r="P3" s="67" t="s">
        <v>315</v>
      </c>
      <c r="R3" s="67" t="s">
        <v>359</v>
      </c>
    </row>
    <row r="5" spans="1:18" x14ac:dyDescent="0.25">
      <c r="A5" s="68" t="s">
        <v>316</v>
      </c>
      <c r="B5" s="69" t="s">
        <v>317</v>
      </c>
      <c r="C5" s="69"/>
      <c r="D5" s="69" t="s">
        <v>369</v>
      </c>
      <c r="E5" s="69"/>
      <c r="F5" s="69" t="s">
        <v>318</v>
      </c>
      <c r="G5" s="69"/>
      <c r="H5" s="69" t="s">
        <v>319</v>
      </c>
      <c r="I5" s="69"/>
      <c r="J5" s="69" t="s">
        <v>320</v>
      </c>
      <c r="K5" s="69"/>
      <c r="L5" s="69" t="s">
        <v>321</v>
      </c>
      <c r="M5" s="69"/>
      <c r="N5" s="69" t="s">
        <v>322</v>
      </c>
      <c r="O5" s="69"/>
      <c r="P5" s="69"/>
      <c r="Q5" s="69"/>
      <c r="R5" s="69" t="s">
        <v>361</v>
      </c>
    </row>
    <row r="6" spans="1:18" x14ac:dyDescent="0.25">
      <c r="A6" s="69"/>
      <c r="B6" s="69" t="s">
        <v>323</v>
      </c>
      <c r="C6" s="69"/>
      <c r="D6" s="69"/>
      <c r="E6" s="69"/>
      <c r="F6" s="69" t="s">
        <v>324</v>
      </c>
      <c r="G6" s="69"/>
      <c r="H6" s="69" t="s">
        <v>325</v>
      </c>
      <c r="I6" s="69"/>
      <c r="J6" s="69" t="s">
        <v>326</v>
      </c>
      <c r="K6" s="69"/>
      <c r="L6" s="69"/>
      <c r="M6" s="69"/>
      <c r="N6" s="69" t="s">
        <v>327</v>
      </c>
      <c r="O6" s="69"/>
      <c r="P6" s="69"/>
      <c r="Q6" s="69"/>
      <c r="R6" s="69" t="s">
        <v>362</v>
      </c>
    </row>
    <row r="7" spans="1:18" x14ac:dyDescent="0.25">
      <c r="A7" s="69"/>
      <c r="B7" s="69"/>
      <c r="C7" s="69"/>
      <c r="D7" s="69"/>
      <c r="E7" s="69"/>
      <c r="F7" s="69" t="s">
        <v>328</v>
      </c>
      <c r="G7" s="69"/>
      <c r="H7" s="69" t="s">
        <v>329</v>
      </c>
      <c r="I7" s="69"/>
      <c r="J7" s="69" t="s">
        <v>330</v>
      </c>
      <c r="K7" s="69"/>
      <c r="L7" s="69"/>
      <c r="M7" s="69"/>
      <c r="N7" s="69" t="s">
        <v>331</v>
      </c>
      <c r="O7" s="69"/>
      <c r="P7" s="69"/>
      <c r="Q7" s="69"/>
      <c r="R7" s="69" t="s">
        <v>368</v>
      </c>
    </row>
    <row r="8" spans="1:18" x14ac:dyDescent="0.25">
      <c r="A8" s="69"/>
      <c r="B8" s="69"/>
      <c r="C8" s="69"/>
      <c r="D8" s="69"/>
      <c r="E8" s="69"/>
      <c r="F8" s="69" t="s">
        <v>332</v>
      </c>
      <c r="G8" s="69"/>
      <c r="H8" s="69" t="s">
        <v>333</v>
      </c>
      <c r="I8" s="69"/>
      <c r="J8" s="69" t="s">
        <v>334</v>
      </c>
      <c r="K8" s="69"/>
      <c r="L8" s="69"/>
      <c r="M8" s="69"/>
      <c r="N8" s="69" t="s">
        <v>335</v>
      </c>
      <c r="O8" s="69"/>
      <c r="P8" s="69"/>
      <c r="Q8" s="69"/>
      <c r="R8" s="69" t="s">
        <v>363</v>
      </c>
    </row>
    <row r="9" spans="1:18" x14ac:dyDescent="0.25">
      <c r="A9" s="69"/>
      <c r="B9" s="69"/>
      <c r="C9" s="69"/>
      <c r="D9" s="69"/>
      <c r="E9" s="69"/>
      <c r="F9" s="69" t="s">
        <v>336</v>
      </c>
      <c r="G9" s="69"/>
      <c r="H9" s="69" t="s">
        <v>337</v>
      </c>
      <c r="I9" s="69"/>
      <c r="J9" s="69" t="s">
        <v>338</v>
      </c>
      <c r="K9" s="69"/>
      <c r="L9" s="69"/>
      <c r="M9" s="69"/>
      <c r="N9" s="69" t="s">
        <v>339</v>
      </c>
      <c r="O9" s="69"/>
      <c r="P9" s="69"/>
      <c r="Q9" s="69"/>
      <c r="R9" s="69" t="s">
        <v>364</v>
      </c>
    </row>
    <row r="10" spans="1:18" x14ac:dyDescent="0.25">
      <c r="A10" s="69"/>
      <c r="B10" s="69"/>
      <c r="C10" s="69"/>
      <c r="D10" s="69"/>
      <c r="E10" s="69"/>
      <c r="F10" s="69" t="s">
        <v>340</v>
      </c>
      <c r="G10" s="69"/>
      <c r="H10" s="69" t="s">
        <v>341</v>
      </c>
      <c r="I10" s="69"/>
      <c r="J10" s="69" t="s">
        <v>342</v>
      </c>
      <c r="K10" s="69"/>
      <c r="L10" s="69"/>
      <c r="M10" s="69"/>
      <c r="N10" s="69" t="s">
        <v>343</v>
      </c>
      <c r="O10" s="69"/>
      <c r="P10" s="69"/>
      <c r="Q10" s="69"/>
      <c r="R10" s="69"/>
    </row>
    <row r="11" spans="1:18" x14ac:dyDescent="0.25">
      <c r="A11" s="69"/>
      <c r="B11" s="69"/>
      <c r="C11" s="69"/>
      <c r="D11" s="69"/>
      <c r="E11" s="69"/>
      <c r="F11" s="69" t="s">
        <v>344</v>
      </c>
      <c r="G11" s="69"/>
      <c r="H11" s="69" t="s">
        <v>345</v>
      </c>
      <c r="I11" s="69"/>
      <c r="J11" s="69" t="s">
        <v>346</v>
      </c>
      <c r="K11" s="69"/>
      <c r="L11" s="69"/>
      <c r="M11" s="69"/>
      <c r="N11" s="69" t="s">
        <v>347</v>
      </c>
      <c r="O11" s="69"/>
      <c r="P11" s="69"/>
      <c r="Q11" s="69"/>
      <c r="R11" s="69"/>
    </row>
    <row r="12" spans="1:18" x14ac:dyDescent="0.25">
      <c r="A12" s="69"/>
      <c r="B12" s="69"/>
      <c r="C12" s="69"/>
      <c r="D12" s="69"/>
      <c r="E12" s="69"/>
      <c r="F12" s="69" t="s">
        <v>348</v>
      </c>
      <c r="G12" s="69"/>
      <c r="H12" s="69" t="s">
        <v>349</v>
      </c>
      <c r="I12" s="69"/>
      <c r="J12" s="69" t="s">
        <v>350</v>
      </c>
      <c r="K12" s="69"/>
      <c r="L12" s="69"/>
      <c r="M12" s="69"/>
      <c r="N12" s="69" t="s">
        <v>351</v>
      </c>
      <c r="O12" s="69"/>
      <c r="P12" s="69"/>
      <c r="Q12" s="69"/>
      <c r="R12" s="69"/>
    </row>
    <row r="14" spans="1:18" ht="120" x14ac:dyDescent="0.25">
      <c r="A14" s="70" t="s">
        <v>352</v>
      </c>
      <c r="B14" s="71" t="s">
        <v>367</v>
      </c>
      <c r="C14" s="71" t="s">
        <v>47</v>
      </c>
      <c r="D14" s="71" t="s">
        <v>357</v>
      </c>
      <c r="E14" s="71"/>
      <c r="F14" s="71" t="s">
        <v>355</v>
      </c>
      <c r="G14" s="71"/>
      <c r="H14" s="71" t="s">
        <v>353</v>
      </c>
      <c r="I14" s="71"/>
      <c r="J14" s="71" t="s">
        <v>356</v>
      </c>
      <c r="K14" s="72"/>
      <c r="L14" s="71" t="s">
        <v>358</v>
      </c>
      <c r="M14" s="72"/>
      <c r="N14" s="71" t="s">
        <v>366</v>
      </c>
      <c r="O14" s="72"/>
      <c r="P14" s="71" t="s">
        <v>354</v>
      </c>
      <c r="Q14" s="72"/>
      <c r="R14" s="71" t="s">
        <v>360</v>
      </c>
    </row>
    <row r="15" spans="1:18" x14ac:dyDescent="0.25">
      <c r="B15" s="52"/>
      <c r="C15" s="52"/>
      <c r="D15" s="52"/>
      <c r="E15" s="52"/>
      <c r="F15" s="52"/>
      <c r="G15" s="52"/>
      <c r="H15" s="52"/>
      <c r="I15" s="52"/>
      <c r="J15" s="52"/>
    </row>
    <row r="16" spans="1:18" x14ac:dyDescent="0.25">
      <c r="B16" s="52"/>
      <c r="C16" s="52"/>
      <c r="D16" s="52"/>
      <c r="E16" s="52"/>
      <c r="F16" s="52"/>
      <c r="G16" s="52"/>
      <c r="H16" s="52"/>
      <c r="I16" s="52"/>
      <c r="J16" s="52"/>
    </row>
    <row r="17" spans="2:10" x14ac:dyDescent="0.25">
      <c r="B17" s="52"/>
      <c r="C17" s="52"/>
      <c r="D17" s="52"/>
      <c r="E17" s="52"/>
      <c r="F17" s="52"/>
      <c r="G17" s="52"/>
      <c r="H17" s="52"/>
      <c r="I17" s="52"/>
      <c r="J17" s="52"/>
    </row>
    <row r="18" spans="2:10" x14ac:dyDescent="0.25">
      <c r="B18" s="52"/>
      <c r="C18" s="52"/>
      <c r="D18" s="52"/>
      <c r="E18" s="52"/>
      <c r="F18" s="52"/>
      <c r="G18" s="52"/>
      <c r="H18" s="52"/>
      <c r="I18" s="52"/>
      <c r="J18" s="52"/>
    </row>
    <row r="19" spans="2:10" x14ac:dyDescent="0.25">
      <c r="B19" s="52"/>
      <c r="C19" s="52"/>
      <c r="D19" s="52"/>
      <c r="E19" s="52"/>
      <c r="F19" s="52"/>
      <c r="G19" s="52"/>
      <c r="H19" s="52"/>
      <c r="I19" s="52"/>
      <c r="J19" s="52"/>
    </row>
    <row r="20" spans="2:10" x14ac:dyDescent="0.25">
      <c r="B20" s="52"/>
      <c r="C20" s="52"/>
      <c r="D20" s="52"/>
      <c r="E20" s="52"/>
      <c r="F20" s="52"/>
      <c r="G20" s="52"/>
      <c r="H20" s="52"/>
      <c r="I20" s="52"/>
      <c r="J20" s="52"/>
    </row>
    <row r="21" spans="2:10" x14ac:dyDescent="0.25">
      <c r="B21" s="52"/>
      <c r="C21" s="52"/>
      <c r="D21" s="52"/>
      <c r="E21" s="52"/>
      <c r="F21" s="52"/>
      <c r="G21" s="52"/>
      <c r="H21" s="52"/>
      <c r="I21" s="52"/>
      <c r="J21" s="52"/>
    </row>
  </sheetData>
  <pageMargins left="0.7" right="0.7" top="0.75" bottom="0.75" header="0.3" footer="0.3"/>
  <pageSetup paperSize="9" orientation="portrait" horizontalDpi="4294967293" vertic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3A81B-690A-4DF3-A064-4C415364D1CE}">
  <sheetPr>
    <tabColor theme="9" tint="0.39997558519241921"/>
  </sheetPr>
  <dimension ref="B2:H55"/>
  <sheetViews>
    <sheetView topLeftCell="B1" workbookViewId="0">
      <selection activeCell="H3" sqref="H3"/>
    </sheetView>
  </sheetViews>
  <sheetFormatPr defaultRowHeight="15" x14ac:dyDescent="0.25"/>
  <cols>
    <col min="2" max="2" width="32.140625" customWidth="1"/>
    <col min="5" max="5" width="163.5703125" customWidth="1"/>
  </cols>
  <sheetData>
    <row r="2" spans="2:8" x14ac:dyDescent="0.25">
      <c r="B2" s="1" t="s">
        <v>250</v>
      </c>
      <c r="E2" s="1" t="s">
        <v>255</v>
      </c>
    </row>
    <row r="3" spans="2:8" x14ac:dyDescent="0.25">
      <c r="B3" s="7" t="s">
        <v>84</v>
      </c>
      <c r="C3">
        <v>0.5</v>
      </c>
      <c r="E3" s="122" t="s">
        <v>268</v>
      </c>
      <c r="F3" s="53"/>
    </row>
    <row r="4" spans="2:8" x14ac:dyDescent="0.25">
      <c r="B4" s="7" t="s">
        <v>85</v>
      </c>
      <c r="C4">
        <v>0.05</v>
      </c>
      <c r="E4" s="122"/>
    </row>
    <row r="5" spans="2:8" x14ac:dyDescent="0.25">
      <c r="B5" s="7" t="s">
        <v>89</v>
      </c>
      <c r="C5">
        <v>1E-3</v>
      </c>
      <c r="E5" s="122"/>
    </row>
    <row r="6" spans="2:8" x14ac:dyDescent="0.25">
      <c r="B6" s="7" t="s">
        <v>83</v>
      </c>
      <c r="C6">
        <v>0</v>
      </c>
      <c r="E6" s="122"/>
    </row>
    <row r="7" spans="2:8" x14ac:dyDescent="0.25">
      <c r="E7" s="123"/>
    </row>
    <row r="8" spans="2:8" x14ac:dyDescent="0.25">
      <c r="B8" s="1" t="s">
        <v>118</v>
      </c>
    </row>
    <row r="9" spans="2:8" x14ac:dyDescent="0.25">
      <c r="B9" s="24" t="s">
        <v>373</v>
      </c>
      <c r="C9">
        <v>1</v>
      </c>
      <c r="E9" s="122" t="s">
        <v>375</v>
      </c>
      <c r="G9">
        <f>30^2</f>
        <v>900</v>
      </c>
      <c r="H9">
        <f>G9/G$11</f>
        <v>0.1111111111111111</v>
      </c>
    </row>
    <row r="10" spans="2:8" x14ac:dyDescent="0.25">
      <c r="B10" s="24" t="s">
        <v>372</v>
      </c>
      <c r="C10">
        <v>0.6</v>
      </c>
      <c r="E10" s="122"/>
      <c r="G10">
        <f>60^2</f>
        <v>3600</v>
      </c>
      <c r="H10">
        <f>G10/G$11</f>
        <v>0.44444444444444442</v>
      </c>
    </row>
    <row r="11" spans="2:8" x14ac:dyDescent="0.25">
      <c r="B11" s="26" t="s">
        <v>374</v>
      </c>
      <c r="C11">
        <v>0.2</v>
      </c>
      <c r="E11" s="122"/>
      <c r="G11">
        <f>90^2</f>
        <v>8100</v>
      </c>
      <c r="H11">
        <v>1</v>
      </c>
    </row>
    <row r="12" spans="2:8" ht="33.75" customHeight="1" x14ac:dyDescent="0.25">
      <c r="E12" s="122"/>
    </row>
    <row r="13" spans="2:8" x14ac:dyDescent="0.25">
      <c r="B13" s="1" t="s">
        <v>86</v>
      </c>
    </row>
    <row r="14" spans="2:8" ht="23.25" customHeight="1" x14ac:dyDescent="0.25">
      <c r="B14" t="s">
        <v>80</v>
      </c>
      <c r="C14">
        <v>5</v>
      </c>
      <c r="E14" s="122" t="s">
        <v>414</v>
      </c>
    </row>
    <row r="15" spans="2:8" ht="23.25" customHeight="1" x14ac:dyDescent="0.25">
      <c r="B15" t="s">
        <v>81</v>
      </c>
      <c r="C15">
        <v>1</v>
      </c>
      <c r="E15" s="122"/>
    </row>
    <row r="16" spans="2:8" ht="72" customHeight="1" x14ac:dyDescent="0.25">
      <c r="E16" s="122"/>
    </row>
    <row r="17" spans="2:5" x14ac:dyDescent="0.25">
      <c r="B17" s="1" t="s">
        <v>258</v>
      </c>
    </row>
    <row r="18" spans="2:5" ht="21" customHeight="1" x14ac:dyDescent="0.25">
      <c r="B18" t="s">
        <v>80</v>
      </c>
      <c r="C18">
        <v>10</v>
      </c>
      <c r="E18" s="122" t="s">
        <v>260</v>
      </c>
    </row>
    <row r="19" spans="2:5" ht="21" customHeight="1" x14ac:dyDescent="0.25">
      <c r="B19" t="s">
        <v>81</v>
      </c>
      <c r="C19">
        <v>1</v>
      </c>
      <c r="E19" s="122"/>
    </row>
    <row r="20" spans="2:5" ht="21" customHeight="1" x14ac:dyDescent="0.25">
      <c r="E20" s="122"/>
    </row>
    <row r="21" spans="2:5" x14ac:dyDescent="0.25">
      <c r="B21" s="1" t="s">
        <v>119</v>
      </c>
    </row>
    <row r="22" spans="2:5" ht="17.25" customHeight="1" x14ac:dyDescent="0.25">
      <c r="B22" s="12" t="s">
        <v>80</v>
      </c>
      <c r="C22">
        <v>1.5</v>
      </c>
      <c r="E22" s="121" t="s">
        <v>267</v>
      </c>
    </row>
    <row r="23" spans="2:5" ht="17.25" customHeight="1" x14ac:dyDescent="0.25">
      <c r="B23" s="13" t="s">
        <v>81</v>
      </c>
      <c r="C23">
        <v>1</v>
      </c>
      <c r="E23" s="121"/>
    </row>
    <row r="24" spans="2:5" ht="17.25" customHeight="1" x14ac:dyDescent="0.25">
      <c r="B24" s="13"/>
      <c r="E24" s="121"/>
    </row>
    <row r="25" spans="2:5" x14ac:dyDescent="0.25">
      <c r="B25" s="1" t="s">
        <v>82</v>
      </c>
    </row>
    <row r="26" spans="2:5" ht="27.75" customHeight="1" x14ac:dyDescent="0.25">
      <c r="B26" s="4" t="s">
        <v>121</v>
      </c>
      <c r="C26">
        <v>1</v>
      </c>
      <c r="E26" s="121" t="s">
        <v>269</v>
      </c>
    </row>
    <row r="27" spans="2:5" ht="27.75" customHeight="1" x14ac:dyDescent="0.25">
      <c r="B27" t="s">
        <v>120</v>
      </c>
      <c r="C27">
        <v>10</v>
      </c>
      <c r="E27" s="121"/>
    </row>
    <row r="28" spans="2:5" x14ac:dyDescent="0.25">
      <c r="E28" s="121"/>
    </row>
    <row r="29" spans="2:5" x14ac:dyDescent="0.25">
      <c r="E29" s="42"/>
    </row>
    <row r="30" spans="2:5" ht="30" customHeight="1" x14ac:dyDescent="0.25">
      <c r="B30" s="49" t="s">
        <v>122</v>
      </c>
      <c r="C30" s="50">
        <v>20</v>
      </c>
      <c r="D30" s="50"/>
      <c r="E30" s="121" t="s">
        <v>270</v>
      </c>
    </row>
    <row r="31" spans="2:5" ht="30" customHeight="1" x14ac:dyDescent="0.25">
      <c r="B31" s="50"/>
      <c r="C31" s="50"/>
      <c r="D31" s="50"/>
      <c r="E31" s="121"/>
    </row>
    <row r="32" spans="2:5" x14ac:dyDescent="0.25">
      <c r="B32" s="54" t="s">
        <v>377</v>
      </c>
      <c r="C32" s="50"/>
      <c r="D32" s="50"/>
      <c r="E32" s="75"/>
    </row>
    <row r="33" spans="2:5" ht="30" x14ac:dyDescent="0.25">
      <c r="B33" s="50" t="s">
        <v>80</v>
      </c>
      <c r="C33" s="50">
        <v>2</v>
      </c>
      <c r="D33" s="50"/>
      <c r="E33" s="75" t="s">
        <v>416</v>
      </c>
    </row>
    <row r="34" spans="2:5" x14ac:dyDescent="0.25">
      <c r="B34" s="50" t="s">
        <v>81</v>
      </c>
      <c r="C34" s="50">
        <v>1</v>
      </c>
      <c r="D34" s="50"/>
      <c r="E34" s="75"/>
    </row>
    <row r="35" spans="2:5" ht="30" customHeight="1" x14ac:dyDescent="0.25">
      <c r="B35" s="50"/>
      <c r="C35" s="50"/>
      <c r="D35" s="50"/>
      <c r="E35" s="75"/>
    </row>
    <row r="36" spans="2:5" ht="23.25" customHeight="1" x14ac:dyDescent="0.25">
      <c r="B36" s="54" t="s">
        <v>112</v>
      </c>
      <c r="C36" s="50"/>
      <c r="D36" s="50"/>
      <c r="E36" s="52"/>
    </row>
    <row r="37" spans="2:5" x14ac:dyDescent="0.25">
      <c r="B37" s="14" t="s">
        <v>113</v>
      </c>
    </row>
    <row r="38" spans="2:5" ht="22.5" customHeight="1" x14ac:dyDescent="0.25">
      <c r="B38" t="s">
        <v>80</v>
      </c>
      <c r="C38">
        <v>1.5</v>
      </c>
      <c r="E38" s="121" t="s">
        <v>272</v>
      </c>
    </row>
    <row r="39" spans="2:5" ht="22.5" customHeight="1" x14ac:dyDescent="0.25">
      <c r="B39" t="s">
        <v>81</v>
      </c>
      <c r="C39">
        <v>1</v>
      </c>
      <c r="E39" s="121"/>
    </row>
    <row r="40" spans="2:5" ht="28.5" customHeight="1" x14ac:dyDescent="0.25">
      <c r="D40" s="1"/>
      <c r="E40" s="121"/>
    </row>
    <row r="41" spans="2:5" x14ac:dyDescent="0.25">
      <c r="B41" s="14" t="s">
        <v>114</v>
      </c>
    </row>
    <row r="42" spans="2:5" ht="27" customHeight="1" x14ac:dyDescent="0.25">
      <c r="B42" t="s">
        <v>80</v>
      </c>
      <c r="C42">
        <v>1.2</v>
      </c>
      <c r="D42" s="1"/>
      <c r="E42" s="121" t="s">
        <v>271</v>
      </c>
    </row>
    <row r="43" spans="2:5" ht="27" customHeight="1" x14ac:dyDescent="0.25">
      <c r="B43" t="s">
        <v>81</v>
      </c>
      <c r="C43">
        <v>1</v>
      </c>
      <c r="E43" s="121"/>
    </row>
    <row r="44" spans="2:5" ht="27" customHeight="1" x14ac:dyDescent="0.25">
      <c r="E44" s="121"/>
    </row>
    <row r="45" spans="2:5" x14ac:dyDescent="0.25">
      <c r="B45" s="14" t="s">
        <v>115</v>
      </c>
    </row>
    <row r="46" spans="2:5" x14ac:dyDescent="0.25">
      <c r="B46" t="s">
        <v>80</v>
      </c>
      <c r="C46">
        <v>1.2</v>
      </c>
      <c r="E46" t="s">
        <v>256</v>
      </c>
    </row>
    <row r="47" spans="2:5" x14ac:dyDescent="0.25">
      <c r="B47" t="s">
        <v>81</v>
      </c>
      <c r="C47">
        <v>1</v>
      </c>
    </row>
    <row r="49" spans="2:5" x14ac:dyDescent="0.25">
      <c r="B49" s="14" t="s">
        <v>116</v>
      </c>
      <c r="E49" t="s">
        <v>257</v>
      </c>
    </row>
    <row r="50" spans="2:5" x14ac:dyDescent="0.25">
      <c r="B50" t="s">
        <v>80</v>
      </c>
      <c r="C50">
        <v>1.05</v>
      </c>
    </row>
    <row r="51" spans="2:5" x14ac:dyDescent="0.25">
      <c r="B51" t="s">
        <v>81</v>
      </c>
      <c r="C51">
        <v>1</v>
      </c>
    </row>
    <row r="53" spans="2:5" x14ac:dyDescent="0.25">
      <c r="B53" s="14" t="s">
        <v>380</v>
      </c>
    </row>
    <row r="54" spans="2:5" x14ac:dyDescent="0.25">
      <c r="B54" t="s">
        <v>80</v>
      </c>
      <c r="C54">
        <v>1.2</v>
      </c>
      <c r="E54" t="s">
        <v>381</v>
      </c>
    </row>
    <row r="55" spans="2:5" x14ac:dyDescent="0.25">
      <c r="B55" t="s">
        <v>81</v>
      </c>
      <c r="C55">
        <v>1</v>
      </c>
    </row>
  </sheetData>
  <mergeCells count="9">
    <mergeCell ref="E26:E28"/>
    <mergeCell ref="E38:E40"/>
    <mergeCell ref="E42:E44"/>
    <mergeCell ref="E30:E31"/>
    <mergeCell ref="E3:E7"/>
    <mergeCell ref="E9:E12"/>
    <mergeCell ref="E14:E16"/>
    <mergeCell ref="E18:E20"/>
    <mergeCell ref="E22:E24"/>
  </mergeCells>
  <pageMargins left="0.7" right="0.7" top="0.75" bottom="0.75" header="0.3" footer="0.3"/>
  <pageSetup paperSize="9" orientation="portrait" horizontalDpi="4294967293" vertic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CF3D0-EA4B-4473-BC85-2EF04B07B77F}">
  <sheetPr>
    <tabColor theme="9" tint="0.39997558519241921"/>
  </sheetPr>
  <dimension ref="A1:B37"/>
  <sheetViews>
    <sheetView workbookViewId="0">
      <selection activeCell="H3" sqref="H3"/>
    </sheetView>
  </sheetViews>
  <sheetFormatPr defaultRowHeight="15" x14ac:dyDescent="0.25"/>
  <cols>
    <col min="1" max="1" width="59.140625" customWidth="1"/>
  </cols>
  <sheetData>
    <row r="1" spans="1:2" x14ac:dyDescent="0.25">
      <c r="A1" s="1" t="s">
        <v>210</v>
      </c>
    </row>
    <row r="3" spans="1:2" x14ac:dyDescent="0.25">
      <c r="A3" s="1" t="s">
        <v>263</v>
      </c>
    </row>
    <row r="4" spans="1:2" x14ac:dyDescent="0.25">
      <c r="A4" s="1" t="s">
        <v>251</v>
      </c>
      <c r="B4">
        <v>1E-3</v>
      </c>
    </row>
    <row r="5" spans="1:2" x14ac:dyDescent="0.25">
      <c r="A5" s="74" t="s">
        <v>122</v>
      </c>
      <c r="B5" cm="1">
        <f t="array" ref="B5">Admin_DG_Wagons</f>
        <v>10</v>
      </c>
    </row>
    <row r="6" spans="1:2" x14ac:dyDescent="0.25">
      <c r="A6" s="74" t="s">
        <v>249</v>
      </c>
      <c r="B6" cm="1">
        <f t="array" ref="B6">INDEX(admin_likelihood,'Admin Error'!F3,2)</f>
        <v>0.5</v>
      </c>
    </row>
    <row r="7" spans="1:2" x14ac:dyDescent="0.25">
      <c r="A7" t="s">
        <v>211</v>
      </c>
      <c r="B7">
        <f>1+B5/10</f>
        <v>2</v>
      </c>
    </row>
    <row r="8" spans="1:2" x14ac:dyDescent="0.25">
      <c r="A8" s="13" t="s">
        <v>118</v>
      </c>
      <c r="B8" cm="1">
        <f t="array" ref="B8">INDEX(Admin_speed_range,'Admin Error'!F9,2)</f>
        <v>1</v>
      </c>
    </row>
    <row r="9" spans="1:2" x14ac:dyDescent="0.25">
      <c r="A9" s="13" t="s">
        <v>86</v>
      </c>
      <c r="B9" cm="1">
        <f t="array" ref="B9">INDEX(Admin_passenger_line,'Admin Error'!F14,2)</f>
        <v>5</v>
      </c>
    </row>
    <row r="10" spans="1:2" x14ac:dyDescent="0.25">
      <c r="A10" s="13" t="s">
        <v>87</v>
      </c>
      <c r="B10" cm="1">
        <f t="array" ref="B10">INDEX(Admin_High_conseq,'Admin Error'!F18,2)</f>
        <v>10</v>
      </c>
    </row>
    <row r="11" spans="1:2" x14ac:dyDescent="0.25">
      <c r="A11" s="13" t="s">
        <v>119</v>
      </c>
      <c r="B11" cm="1">
        <f t="array" ref="B11">INDEX(Admin_Multi_DG,'Admin Error'!F22,2)</f>
        <v>1.5</v>
      </c>
    </row>
    <row r="12" spans="1:2" x14ac:dyDescent="0.25">
      <c r="A12" s="13" t="s">
        <v>377</v>
      </c>
      <c r="B12" cm="1">
        <f t="array" ref="B12">INDEX(admin_tops_error,'Admin Error'!F33,2)</f>
        <v>2</v>
      </c>
    </row>
    <row r="13" spans="1:2" x14ac:dyDescent="0.25">
      <c r="A13" s="13" t="s">
        <v>82</v>
      </c>
      <c r="B13" cm="1">
        <f t="array" ref="B13">INDEX(Admin_DG_Stored,'Admin Error'!F26,2)</f>
        <v>10</v>
      </c>
    </row>
    <row r="15" spans="1:2" x14ac:dyDescent="0.25">
      <c r="A15" s="1" t="s">
        <v>204</v>
      </c>
    </row>
    <row r="16" spans="1:2" x14ac:dyDescent="0.25">
      <c r="A16" t="s">
        <v>201</v>
      </c>
      <c r="B16" cm="1">
        <f t="array" ref="B16">INDEX(Admin_Conseq_elec,'Admin Error'!F37,2)</f>
        <v>1.5</v>
      </c>
    </row>
    <row r="17" spans="1:2" x14ac:dyDescent="0.25">
      <c r="A17" s="14" t="s">
        <v>202</v>
      </c>
      <c r="B17" cm="1">
        <f t="array" ref="B17">INDEX(Admin_conseq_BU,'Admin Error'!F39,2)</f>
        <v>1.2</v>
      </c>
    </row>
    <row r="18" spans="1:2" x14ac:dyDescent="0.25">
      <c r="A18" s="14" t="s">
        <v>203</v>
      </c>
      <c r="B18" cm="1">
        <f t="array" ref="B18">INDEX(Admin_Conseq_Tunnel,'Admin Error'!F41,2)</f>
        <v>1.2</v>
      </c>
    </row>
    <row r="19" spans="1:2" x14ac:dyDescent="0.25">
      <c r="A19" s="14" t="s">
        <v>206</v>
      </c>
      <c r="B19" cm="1">
        <f t="array" ref="B19">INDEX(Admin_Conseq_Bridge,'Admin Error'!F43,2)</f>
        <v>1.05</v>
      </c>
    </row>
    <row r="20" spans="1:2" x14ac:dyDescent="0.25">
      <c r="A20" s="14" t="s">
        <v>380</v>
      </c>
      <c r="B20" cm="1">
        <f t="array" ref="B20">INDEX(admin_conseq_water,'Admin Error'!F45,2)</f>
        <v>1.2</v>
      </c>
    </row>
    <row r="22" spans="1:2" x14ac:dyDescent="0.25">
      <c r="A22" s="18" t="s">
        <v>212</v>
      </c>
      <c r="B22" s="1">
        <v>1</v>
      </c>
    </row>
    <row r="24" spans="1:2" x14ac:dyDescent="0.25">
      <c r="A24" s="14" t="s">
        <v>297</v>
      </c>
      <c r="B24">
        <f>PRODUCT(B6:B22, B4)</f>
        <v>4.0823999999999998</v>
      </c>
    </row>
    <row r="25" spans="1:2" x14ac:dyDescent="0.25">
      <c r="A25" s="13"/>
    </row>
    <row r="26" spans="1:2" x14ac:dyDescent="0.25">
      <c r="A26" s="13" t="s">
        <v>264</v>
      </c>
      <c r="B26" s="15">
        <f>IF(B24=0,0,LOG(B24*calib,2))</f>
        <v>15.893708260730692</v>
      </c>
    </row>
    <row r="27" spans="1:2" x14ac:dyDescent="0.25">
      <c r="A27" s="13"/>
    </row>
    <row r="29" spans="1:2" x14ac:dyDescent="0.25">
      <c r="A29" s="13"/>
    </row>
    <row r="30" spans="1:2" x14ac:dyDescent="0.25">
      <c r="A30" s="13"/>
    </row>
    <row r="31" spans="1:2" x14ac:dyDescent="0.25">
      <c r="A31" s="13"/>
    </row>
    <row r="33" spans="1:1" x14ac:dyDescent="0.25">
      <c r="A33" s="13"/>
    </row>
    <row r="34" spans="1:1" x14ac:dyDescent="0.25">
      <c r="A34" s="13"/>
    </row>
    <row r="35" spans="1:1" x14ac:dyDescent="0.25">
      <c r="A35" s="13"/>
    </row>
    <row r="37" spans="1:1" x14ac:dyDescent="0.25">
      <c r="A37" s="1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2658-7C27-46BA-AA58-799087B17B4D}">
  <sheetPr>
    <tabColor theme="9" tint="0.39997558519241921"/>
  </sheetPr>
  <dimension ref="B2:E54"/>
  <sheetViews>
    <sheetView zoomScale="85" zoomScaleNormal="85" workbookViewId="0">
      <selection activeCell="H3" sqref="H3"/>
    </sheetView>
  </sheetViews>
  <sheetFormatPr defaultRowHeight="15" x14ac:dyDescent="0.25"/>
  <cols>
    <col min="2" max="2" width="28.7109375" customWidth="1"/>
    <col min="5" max="5" width="148.7109375" customWidth="1"/>
  </cols>
  <sheetData>
    <row r="2" spans="2:5" x14ac:dyDescent="0.25">
      <c r="B2" s="1" t="s">
        <v>88</v>
      </c>
      <c r="E2" s="1" t="s">
        <v>255</v>
      </c>
    </row>
    <row r="3" spans="2:5" x14ac:dyDescent="0.25">
      <c r="B3" s="7" t="s">
        <v>84</v>
      </c>
      <c r="C3">
        <v>0.5</v>
      </c>
      <c r="E3" s="122" t="s">
        <v>404</v>
      </c>
    </row>
    <row r="4" spans="2:5" x14ac:dyDescent="0.25">
      <c r="B4" s="7" t="s">
        <v>85</v>
      </c>
      <c r="C4">
        <v>0.05</v>
      </c>
      <c r="E4" s="122"/>
    </row>
    <row r="5" spans="2:5" x14ac:dyDescent="0.25">
      <c r="B5" s="7" t="s">
        <v>89</v>
      </c>
      <c r="C5">
        <v>1E-3</v>
      </c>
      <c r="E5" s="122"/>
    </row>
    <row r="6" spans="2:5" x14ac:dyDescent="0.25">
      <c r="B6" s="7" t="s">
        <v>83</v>
      </c>
      <c r="C6">
        <v>0</v>
      </c>
      <c r="E6" s="122"/>
    </row>
    <row r="7" spans="2:5" x14ac:dyDescent="0.25">
      <c r="E7" s="123"/>
    </row>
    <row r="8" spans="2:5" x14ac:dyDescent="0.25">
      <c r="B8" s="1" t="s">
        <v>118</v>
      </c>
    </row>
    <row r="9" spans="2:5" x14ac:dyDescent="0.25">
      <c r="B9" s="24" t="s">
        <v>373</v>
      </c>
      <c r="C9">
        <v>1</v>
      </c>
      <c r="E9" s="122" t="s">
        <v>405</v>
      </c>
    </row>
    <row r="10" spans="2:5" x14ac:dyDescent="0.25">
      <c r="B10" s="24" t="s">
        <v>372</v>
      </c>
      <c r="C10">
        <v>0.6</v>
      </c>
      <c r="E10" s="122"/>
    </row>
    <row r="11" spans="2:5" x14ac:dyDescent="0.25">
      <c r="B11" s="24" t="s">
        <v>374</v>
      </c>
      <c r="C11">
        <v>0.2</v>
      </c>
      <c r="E11" s="122"/>
    </row>
    <row r="12" spans="2:5" x14ac:dyDescent="0.25">
      <c r="E12" s="122"/>
    </row>
    <row r="13" spans="2:5" x14ac:dyDescent="0.25">
      <c r="B13" s="1" t="s">
        <v>86</v>
      </c>
    </row>
    <row r="14" spans="2:5" ht="15" customHeight="1" x14ac:dyDescent="0.25">
      <c r="B14" t="s">
        <v>80</v>
      </c>
      <c r="C14">
        <v>3</v>
      </c>
      <c r="E14" s="122" t="s">
        <v>413</v>
      </c>
    </row>
    <row r="15" spans="2:5" x14ac:dyDescent="0.25">
      <c r="B15" t="s">
        <v>81</v>
      </c>
      <c r="C15">
        <v>1</v>
      </c>
      <c r="E15" s="122"/>
    </row>
    <row r="16" spans="2:5" ht="91.5" customHeight="1" x14ac:dyDescent="0.25">
      <c r="E16" s="122"/>
    </row>
    <row r="17" spans="2:5" x14ac:dyDescent="0.25">
      <c r="B17" s="1" t="s">
        <v>87</v>
      </c>
    </row>
    <row r="18" spans="2:5" x14ac:dyDescent="0.25">
      <c r="B18" t="s">
        <v>80</v>
      </c>
      <c r="C18">
        <v>10</v>
      </c>
      <c r="E18" s="122" t="s">
        <v>260</v>
      </c>
    </row>
    <row r="19" spans="2:5" x14ac:dyDescent="0.25">
      <c r="B19" t="s">
        <v>81</v>
      </c>
      <c r="C19">
        <v>1</v>
      </c>
      <c r="E19" s="122"/>
    </row>
    <row r="20" spans="2:5" ht="33.6" customHeight="1" x14ac:dyDescent="0.25">
      <c r="E20" s="122"/>
    </row>
    <row r="21" spans="2:5" x14ac:dyDescent="0.25">
      <c r="B21" s="1" t="s">
        <v>119</v>
      </c>
    </row>
    <row r="22" spans="2:5" x14ac:dyDescent="0.25">
      <c r="B22" s="12" t="s">
        <v>80</v>
      </c>
      <c r="C22">
        <v>1.5</v>
      </c>
      <c r="E22" s="121" t="s">
        <v>261</v>
      </c>
    </row>
    <row r="23" spans="2:5" x14ac:dyDescent="0.25">
      <c r="B23" s="13" t="s">
        <v>81</v>
      </c>
      <c r="C23">
        <v>1</v>
      </c>
      <c r="E23" s="121"/>
    </row>
    <row r="24" spans="2:5" x14ac:dyDescent="0.25">
      <c r="B24" s="13"/>
      <c r="E24" s="121"/>
    </row>
    <row r="25" spans="2:5" x14ac:dyDescent="0.25">
      <c r="B25" s="1" t="s">
        <v>82</v>
      </c>
    </row>
    <row r="26" spans="2:5" x14ac:dyDescent="0.25">
      <c r="B26" t="s">
        <v>121</v>
      </c>
      <c r="C26">
        <v>1</v>
      </c>
      <c r="E26" s="121" t="s">
        <v>259</v>
      </c>
    </row>
    <row r="27" spans="2:5" x14ac:dyDescent="0.25">
      <c r="B27" t="s">
        <v>120</v>
      </c>
      <c r="C27">
        <v>10</v>
      </c>
      <c r="E27" s="121"/>
    </row>
    <row r="28" spans="2:5" x14ac:dyDescent="0.25">
      <c r="E28" s="121"/>
    </row>
    <row r="29" spans="2:5" x14ac:dyDescent="0.25">
      <c r="B29" s="1" t="s">
        <v>122</v>
      </c>
      <c r="C29">
        <f>DP_DG_Wagons</f>
        <v>10</v>
      </c>
      <c r="E29" s="42"/>
    </row>
    <row r="30" spans="2:5" x14ac:dyDescent="0.25">
      <c r="E30" s="121" t="s">
        <v>262</v>
      </c>
    </row>
    <row r="31" spans="2:5" x14ac:dyDescent="0.25">
      <c r="E31" s="121"/>
    </row>
    <row r="32" spans="2:5" x14ac:dyDescent="0.25">
      <c r="B32" s="54" t="s">
        <v>377</v>
      </c>
      <c r="C32" s="50"/>
      <c r="D32" s="50"/>
      <c r="E32" s="75"/>
    </row>
    <row r="33" spans="2:5" ht="60" x14ac:dyDescent="0.25">
      <c r="B33" s="50" t="s">
        <v>80</v>
      </c>
      <c r="C33" s="50">
        <v>2</v>
      </c>
      <c r="D33" s="50"/>
      <c r="E33" s="75" t="s">
        <v>415</v>
      </c>
    </row>
    <row r="34" spans="2:5" x14ac:dyDescent="0.25">
      <c r="B34" s="50" t="s">
        <v>81</v>
      </c>
      <c r="C34" s="50">
        <v>1</v>
      </c>
      <c r="D34" s="50"/>
      <c r="E34" s="75"/>
    </row>
    <row r="35" spans="2:5" x14ac:dyDescent="0.25">
      <c r="B35" s="50"/>
      <c r="C35" s="50"/>
      <c r="D35" s="50"/>
      <c r="E35" s="75"/>
    </row>
    <row r="36" spans="2:5" x14ac:dyDescent="0.25">
      <c r="B36" s="14" t="s">
        <v>113</v>
      </c>
    </row>
    <row r="37" spans="2:5" ht="36.75" customHeight="1" x14ac:dyDescent="0.25">
      <c r="B37" t="s">
        <v>80</v>
      </c>
      <c r="C37">
        <v>1.5</v>
      </c>
      <c r="E37" s="121" t="s">
        <v>265</v>
      </c>
    </row>
    <row r="38" spans="2:5" ht="36.75" customHeight="1" x14ac:dyDescent="0.25">
      <c r="B38" t="s">
        <v>81</v>
      </c>
      <c r="C38">
        <v>1</v>
      </c>
      <c r="D38" s="1"/>
      <c r="E38" s="121"/>
    </row>
    <row r="39" spans="2:5" x14ac:dyDescent="0.25">
      <c r="E39" s="121"/>
    </row>
    <row r="40" spans="2:5" x14ac:dyDescent="0.25">
      <c r="B40" s="14" t="s">
        <v>114</v>
      </c>
      <c r="D40" s="1"/>
    </row>
    <row r="41" spans="2:5" ht="48.75" customHeight="1" x14ac:dyDescent="0.25">
      <c r="B41" t="s">
        <v>80</v>
      </c>
      <c r="C41">
        <v>1.2</v>
      </c>
      <c r="E41" s="121" t="s">
        <v>410</v>
      </c>
    </row>
    <row r="42" spans="2:5" ht="48.75" customHeight="1" x14ac:dyDescent="0.25">
      <c r="B42" t="s">
        <v>81</v>
      </c>
      <c r="C42">
        <v>1</v>
      </c>
      <c r="E42" s="121"/>
    </row>
    <row r="43" spans="2:5" x14ac:dyDescent="0.25">
      <c r="E43" s="121"/>
    </row>
    <row r="44" spans="2:5" x14ac:dyDescent="0.25">
      <c r="B44" s="14" t="s">
        <v>115</v>
      </c>
    </row>
    <row r="45" spans="2:5" x14ac:dyDescent="0.25">
      <c r="B45" t="s">
        <v>80</v>
      </c>
      <c r="C45">
        <v>1.2</v>
      </c>
      <c r="E45" t="s">
        <v>256</v>
      </c>
    </row>
    <row r="46" spans="2:5" x14ac:dyDescent="0.25">
      <c r="B46" t="s">
        <v>81</v>
      </c>
      <c r="C46">
        <v>1</v>
      </c>
    </row>
    <row r="48" spans="2:5" x14ac:dyDescent="0.25">
      <c r="B48" s="14" t="s">
        <v>116</v>
      </c>
      <c r="E48" t="s">
        <v>257</v>
      </c>
    </row>
    <row r="49" spans="2:5" x14ac:dyDescent="0.25">
      <c r="B49" t="s">
        <v>80</v>
      </c>
      <c r="C49">
        <v>1.05</v>
      </c>
    </row>
    <row r="50" spans="2:5" x14ac:dyDescent="0.25">
      <c r="B50" t="s">
        <v>81</v>
      </c>
      <c r="C50">
        <v>1</v>
      </c>
    </row>
    <row r="52" spans="2:5" x14ac:dyDescent="0.25">
      <c r="B52" s="14" t="s">
        <v>380</v>
      </c>
      <c r="E52" t="s">
        <v>381</v>
      </c>
    </row>
    <row r="53" spans="2:5" x14ac:dyDescent="0.25">
      <c r="B53" t="s">
        <v>80</v>
      </c>
      <c r="C53">
        <v>1.2</v>
      </c>
    </row>
    <row r="54" spans="2:5" x14ac:dyDescent="0.25">
      <c r="B54" t="s">
        <v>81</v>
      </c>
      <c r="C54">
        <v>1</v>
      </c>
    </row>
  </sheetData>
  <mergeCells count="9">
    <mergeCell ref="E30:E31"/>
    <mergeCell ref="E37:E39"/>
    <mergeCell ref="E41:E43"/>
    <mergeCell ref="E3:E7"/>
    <mergeCell ref="E9:E12"/>
    <mergeCell ref="E14:E16"/>
    <mergeCell ref="E18:E20"/>
    <mergeCell ref="E22:E24"/>
    <mergeCell ref="E26:E2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DE2DF-2346-433F-B8FA-A770A1CD3B15}">
  <sheetPr>
    <tabColor theme="9" tint="0.39997558519241921"/>
  </sheetPr>
  <dimension ref="A1:C31"/>
  <sheetViews>
    <sheetView topLeftCell="A2" workbookViewId="0">
      <selection activeCell="H3" sqref="H3"/>
    </sheetView>
  </sheetViews>
  <sheetFormatPr defaultRowHeight="15" x14ac:dyDescent="0.25"/>
  <cols>
    <col min="1" max="1" width="23.5703125" customWidth="1"/>
  </cols>
  <sheetData>
    <row r="1" spans="1:3" x14ac:dyDescent="0.25">
      <c r="A1" t="s">
        <v>205</v>
      </c>
      <c r="C1" t="s">
        <v>207</v>
      </c>
    </row>
    <row r="2" spans="1:3" x14ac:dyDescent="0.25">
      <c r="A2">
        <v>1</v>
      </c>
      <c r="C2" t="s">
        <v>2</v>
      </c>
    </row>
    <row r="3" spans="1:3" x14ac:dyDescent="0.25">
      <c r="A3">
        <v>2</v>
      </c>
      <c r="C3" t="s">
        <v>0</v>
      </c>
    </row>
    <row r="4" spans="1:3" x14ac:dyDescent="0.25">
      <c r="A4">
        <v>3</v>
      </c>
    </row>
    <row r="5" spans="1:3" x14ac:dyDescent="0.25">
      <c r="A5">
        <v>4</v>
      </c>
    </row>
    <row r="6" spans="1:3" x14ac:dyDescent="0.25">
      <c r="A6">
        <v>5</v>
      </c>
    </row>
    <row r="7" spans="1:3" x14ac:dyDescent="0.25">
      <c r="A7">
        <v>6</v>
      </c>
    </row>
    <row r="8" spans="1:3" x14ac:dyDescent="0.25">
      <c r="A8">
        <v>7</v>
      </c>
    </row>
    <row r="9" spans="1:3" x14ac:dyDescent="0.25">
      <c r="A9">
        <v>8</v>
      </c>
    </row>
    <row r="10" spans="1:3" x14ac:dyDescent="0.25">
      <c r="A10">
        <v>9</v>
      </c>
    </row>
    <row r="11" spans="1:3" x14ac:dyDescent="0.25">
      <c r="A11">
        <v>10</v>
      </c>
    </row>
    <row r="12" spans="1:3" x14ac:dyDescent="0.25">
      <c r="A12">
        <v>11</v>
      </c>
    </row>
    <row r="13" spans="1:3" x14ac:dyDescent="0.25">
      <c r="A13">
        <v>12</v>
      </c>
    </row>
    <row r="14" spans="1:3" x14ac:dyDescent="0.25">
      <c r="A14">
        <v>13</v>
      </c>
    </row>
    <row r="15" spans="1:3" x14ac:dyDescent="0.25">
      <c r="A15">
        <v>14</v>
      </c>
    </row>
    <row r="16" spans="1:3" x14ac:dyDescent="0.25">
      <c r="A16">
        <v>15</v>
      </c>
    </row>
    <row r="17" spans="1:1" x14ac:dyDescent="0.25">
      <c r="A17">
        <v>16</v>
      </c>
    </row>
    <row r="18" spans="1:1" x14ac:dyDescent="0.25">
      <c r="A18">
        <v>17</v>
      </c>
    </row>
    <row r="19" spans="1:1" x14ac:dyDescent="0.25">
      <c r="A19">
        <v>18</v>
      </c>
    </row>
    <row r="20" spans="1:1" x14ac:dyDescent="0.25">
      <c r="A20">
        <v>19</v>
      </c>
    </row>
    <row r="21" spans="1:1" x14ac:dyDescent="0.25">
      <c r="A21">
        <v>20</v>
      </c>
    </row>
    <row r="22" spans="1:1" x14ac:dyDescent="0.25">
      <c r="A22">
        <v>21</v>
      </c>
    </row>
    <row r="23" spans="1:1" x14ac:dyDescent="0.25">
      <c r="A23">
        <v>22</v>
      </c>
    </row>
    <row r="24" spans="1:1" x14ac:dyDescent="0.25">
      <c r="A24">
        <v>23</v>
      </c>
    </row>
    <row r="25" spans="1:1" x14ac:dyDescent="0.25">
      <c r="A25">
        <v>24</v>
      </c>
    </row>
    <row r="26" spans="1:1" x14ac:dyDescent="0.25">
      <c r="A26">
        <v>25</v>
      </c>
    </row>
    <row r="27" spans="1:1" x14ac:dyDescent="0.25">
      <c r="A27">
        <v>26</v>
      </c>
    </row>
    <row r="28" spans="1:1" x14ac:dyDescent="0.25">
      <c r="A28">
        <v>27</v>
      </c>
    </row>
    <row r="29" spans="1:1" x14ac:dyDescent="0.25">
      <c r="A29">
        <v>28</v>
      </c>
    </row>
    <row r="30" spans="1:1" x14ac:dyDescent="0.25">
      <c r="A30">
        <v>29</v>
      </c>
    </row>
    <row r="31" spans="1:1" x14ac:dyDescent="0.25">
      <c r="A31">
        <v>30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0C46B-3C3C-436B-82FB-DF502F12B684}">
  <sheetPr>
    <tabColor theme="9" tint="0.39997558519241921"/>
  </sheetPr>
  <dimension ref="A1:B36"/>
  <sheetViews>
    <sheetView topLeftCell="A7" workbookViewId="0">
      <selection activeCell="H3" sqref="H3"/>
    </sheetView>
  </sheetViews>
  <sheetFormatPr defaultRowHeight="15" x14ac:dyDescent="0.25"/>
  <cols>
    <col min="1" max="1" width="59.140625" customWidth="1"/>
    <col min="2" max="2" width="12" bestFit="1" customWidth="1"/>
  </cols>
  <sheetData>
    <row r="1" spans="1:2" x14ac:dyDescent="0.25">
      <c r="A1" s="1" t="s">
        <v>210</v>
      </c>
    </row>
    <row r="3" spans="1:2" x14ac:dyDescent="0.25">
      <c r="A3" s="1" t="s">
        <v>117</v>
      </c>
    </row>
    <row r="4" spans="1:2" x14ac:dyDescent="0.25">
      <c r="A4" s="13" t="s">
        <v>122</v>
      </c>
      <c r="B4">
        <f>DP_DG_Wagons</f>
        <v>10</v>
      </c>
    </row>
    <row r="5" spans="1:2" x14ac:dyDescent="0.25">
      <c r="A5" t="s">
        <v>211</v>
      </c>
      <c r="B5">
        <f>1+B4/10</f>
        <v>2</v>
      </c>
    </row>
    <row r="6" spans="1:2" x14ac:dyDescent="0.25">
      <c r="A6" s="13" t="s">
        <v>88</v>
      </c>
      <c r="B6" cm="1">
        <f t="array" ref="B6">INDEX(derailment_likelihood,'Derailment Precursor'!F3,2)</f>
        <v>0.05</v>
      </c>
    </row>
    <row r="7" spans="1:2" x14ac:dyDescent="0.25">
      <c r="A7" s="13" t="s">
        <v>118</v>
      </c>
      <c r="B7" cm="1">
        <f t="array" ref="B7">INDEX(DP_speed_range,'Derailment Precursor'!F9,2)</f>
        <v>0.6</v>
      </c>
    </row>
    <row r="8" spans="1:2" x14ac:dyDescent="0.25">
      <c r="A8" s="13" t="s">
        <v>86</v>
      </c>
      <c r="B8" cm="1">
        <f t="array" ref="B8">INDEX(DP_passenger_line,'Derailment Precursor'!F14,2)</f>
        <v>1</v>
      </c>
    </row>
    <row r="9" spans="1:2" x14ac:dyDescent="0.25">
      <c r="A9" s="13" t="s">
        <v>87</v>
      </c>
      <c r="B9" cm="1">
        <f t="array" ref="B9">INDEX(DP_High_conseq,'Derailment Precursor'!F18,2)</f>
        <v>10</v>
      </c>
    </row>
    <row r="10" spans="1:2" x14ac:dyDescent="0.25">
      <c r="A10" s="13" t="s">
        <v>119</v>
      </c>
      <c r="B10" cm="1">
        <f t="array" ref="B10">INDEX(DP_Multi_DG,'Derailment Precursor'!F22,2)</f>
        <v>1</v>
      </c>
    </row>
    <row r="11" spans="1:2" x14ac:dyDescent="0.25">
      <c r="A11" s="13" t="s">
        <v>379</v>
      </c>
      <c r="B11" cm="1">
        <f t="array" ref="B11">INDEX(DP_tops_error,'Derailment Precursor'!F33,2)</f>
        <v>2</v>
      </c>
    </row>
    <row r="12" spans="1:2" x14ac:dyDescent="0.25">
      <c r="A12" s="13" t="s">
        <v>82</v>
      </c>
      <c r="B12" cm="1">
        <f t="array" ref="B12">INDEX(DP_DG_Stored,'Derailment Precursor'!F26,2)</f>
        <v>10</v>
      </c>
    </row>
    <row r="14" spans="1:2" x14ac:dyDescent="0.25">
      <c r="A14" s="1" t="s">
        <v>204</v>
      </c>
    </row>
    <row r="15" spans="1:2" x14ac:dyDescent="0.25">
      <c r="A15" t="s">
        <v>201</v>
      </c>
      <c r="B15" cm="1">
        <f t="array" ref="B15">INDEX(DP_Conseq_elec,'Derailment Precursor'!F37,2)</f>
        <v>1.5</v>
      </c>
    </row>
    <row r="16" spans="1:2" x14ac:dyDescent="0.25">
      <c r="A16" s="14" t="s">
        <v>202</v>
      </c>
      <c r="B16" cm="1">
        <f t="array" ref="B16">INDEX(DP_conseq_BU,'Derailment Precursor'!F39,2)</f>
        <v>1.2</v>
      </c>
    </row>
    <row r="17" spans="1:2" x14ac:dyDescent="0.25">
      <c r="A17" s="14" t="s">
        <v>203</v>
      </c>
      <c r="B17" cm="1">
        <f t="array" ref="B17">INDEX(DP_Conseq_Tunnel,'Derailment Precursor'!F41,2)</f>
        <v>1</v>
      </c>
    </row>
    <row r="18" spans="1:2" x14ac:dyDescent="0.25">
      <c r="A18" s="14" t="s">
        <v>206</v>
      </c>
      <c r="B18" cm="1">
        <f t="array" ref="B18">INDEX(DP_Conseq_water,'Derailment Precursor'!F45,2)</f>
        <v>1.2</v>
      </c>
    </row>
    <row r="19" spans="1:2" x14ac:dyDescent="0.25">
      <c r="A19" s="14" t="s">
        <v>382</v>
      </c>
      <c r="B19" cm="1">
        <f t="array" ref="B19:B20">INDEX(DP_Conseq_Bridge,'Derailment Precursor'!F44,2)</f>
        <v>1.05</v>
      </c>
    </row>
    <row r="20" spans="1:2" x14ac:dyDescent="0.25">
      <c r="B20">
        <v>1</v>
      </c>
    </row>
    <row r="21" spans="1:2" x14ac:dyDescent="0.25">
      <c r="A21" s="18" t="s">
        <v>212</v>
      </c>
      <c r="B21" s="1">
        <v>1</v>
      </c>
    </row>
    <row r="23" spans="1:2" x14ac:dyDescent="0.25">
      <c r="A23" s="14" t="s">
        <v>297</v>
      </c>
      <c r="B23">
        <f>PRODUCT(B5:B21)</f>
        <v>27.215999999999998</v>
      </c>
    </row>
    <row r="24" spans="1:2" x14ac:dyDescent="0.25">
      <c r="A24" s="13"/>
    </row>
    <row r="25" spans="1:2" x14ac:dyDescent="0.25">
      <c r="A25" s="13" t="s">
        <v>298</v>
      </c>
      <c r="B25" s="15">
        <f>IF(B23=0,0,LOG(B23*calib,2))</f>
        <v>18.630673854896898</v>
      </c>
    </row>
    <row r="26" spans="1:2" x14ac:dyDescent="0.25">
      <c r="A26" s="13"/>
    </row>
    <row r="28" spans="1:2" x14ac:dyDescent="0.25">
      <c r="A28" s="13"/>
    </row>
    <row r="29" spans="1:2" x14ac:dyDescent="0.25">
      <c r="A29" s="13"/>
    </row>
    <row r="30" spans="1:2" x14ac:dyDescent="0.25">
      <c r="A30" s="13"/>
    </row>
    <row r="32" spans="1:2" x14ac:dyDescent="0.25">
      <c r="A32" s="13"/>
    </row>
    <row r="33" spans="1:1" x14ac:dyDescent="0.25">
      <c r="A33" s="13"/>
    </row>
    <row r="34" spans="1:1" x14ac:dyDescent="0.25">
      <c r="A34" s="13"/>
    </row>
    <row r="36" spans="1:1" x14ac:dyDescent="0.25">
      <c r="A36" s="13"/>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A5199-2FE7-496D-A3FB-58698FE67CDE}">
  <sheetPr>
    <tabColor theme="9" tint="0.39997558519241921"/>
  </sheetPr>
  <dimension ref="B1:F51"/>
  <sheetViews>
    <sheetView topLeftCell="A17" zoomScale="85" zoomScaleNormal="85" workbookViewId="0">
      <selection activeCell="H3" sqref="H3"/>
    </sheetView>
  </sheetViews>
  <sheetFormatPr defaultRowHeight="15" x14ac:dyDescent="0.25"/>
  <cols>
    <col min="2" max="2" width="28.7109375" customWidth="1"/>
    <col min="6" max="6" width="138.28515625" customWidth="1"/>
  </cols>
  <sheetData>
    <row r="1" spans="2:6" x14ac:dyDescent="0.25">
      <c r="F1" s="1" t="s">
        <v>255</v>
      </c>
    </row>
    <row r="2" spans="2:6" x14ac:dyDescent="0.25">
      <c r="B2" s="50" t="s">
        <v>229</v>
      </c>
      <c r="C2" s="50"/>
      <c r="D2" s="50"/>
      <c r="E2" s="50"/>
      <c r="F2" s="121"/>
    </row>
    <row r="3" spans="2:6" x14ac:dyDescent="0.25">
      <c r="B3" s="50" t="s">
        <v>2</v>
      </c>
      <c r="C3" s="50"/>
      <c r="D3" s="50"/>
      <c r="E3" s="50"/>
      <c r="F3" s="121"/>
    </row>
    <row r="4" spans="2:6" x14ac:dyDescent="0.25">
      <c r="B4" s="50" t="s">
        <v>0</v>
      </c>
      <c r="C4" s="50"/>
      <c r="D4" s="50"/>
      <c r="E4" s="50"/>
      <c r="F4" s="121"/>
    </row>
    <row r="5" spans="2:6" x14ac:dyDescent="0.25">
      <c r="B5" s="50"/>
      <c r="C5" s="50"/>
      <c r="D5" s="50"/>
      <c r="E5" s="50"/>
      <c r="F5" s="121"/>
    </row>
    <row r="6" spans="2:6" x14ac:dyDescent="0.25">
      <c r="B6" s="49" t="s">
        <v>118</v>
      </c>
      <c r="C6" s="50"/>
      <c r="D6" s="50"/>
      <c r="E6" s="50"/>
      <c r="F6" s="124"/>
    </row>
    <row r="7" spans="2:6" ht="30.75" customHeight="1" x14ac:dyDescent="0.25">
      <c r="B7" s="92" t="s">
        <v>373</v>
      </c>
      <c r="C7" s="50">
        <v>1</v>
      </c>
      <c r="D7" s="50"/>
      <c r="E7" s="93"/>
      <c r="F7" s="121" t="s">
        <v>405</v>
      </c>
    </row>
    <row r="8" spans="2:6" ht="30.75" customHeight="1" x14ac:dyDescent="0.25">
      <c r="B8" s="92" t="s">
        <v>372</v>
      </c>
      <c r="C8" s="50">
        <v>0.6</v>
      </c>
      <c r="D8" s="50"/>
      <c r="E8" s="50"/>
      <c r="F8" s="121"/>
    </row>
    <row r="9" spans="2:6" ht="30.75" customHeight="1" x14ac:dyDescent="0.25">
      <c r="B9" s="94" t="s">
        <v>374</v>
      </c>
      <c r="C9" s="50">
        <v>0.2</v>
      </c>
      <c r="D9" s="50"/>
      <c r="E9" s="50"/>
      <c r="F9" s="121"/>
    </row>
    <row r="10" spans="2:6" x14ac:dyDescent="0.25">
      <c r="B10" s="50"/>
      <c r="C10" s="50"/>
      <c r="D10" s="50"/>
      <c r="E10" s="50"/>
      <c r="F10" s="77"/>
    </row>
    <row r="11" spans="2:6" ht="41.25" customHeight="1" x14ac:dyDescent="0.25">
      <c r="B11" s="49" t="s">
        <v>86</v>
      </c>
      <c r="C11" s="50"/>
      <c r="D11" s="50"/>
      <c r="E11" s="50"/>
      <c r="F11" s="121" t="s">
        <v>413</v>
      </c>
    </row>
    <row r="12" spans="2:6" ht="41.25" customHeight="1" x14ac:dyDescent="0.25">
      <c r="B12" s="50" t="s">
        <v>80</v>
      </c>
      <c r="C12" s="50">
        <v>3</v>
      </c>
      <c r="D12" s="50"/>
      <c r="E12" s="50"/>
      <c r="F12" s="121"/>
    </row>
    <row r="13" spans="2:6" ht="41.25" customHeight="1" x14ac:dyDescent="0.25">
      <c r="B13" s="50" t="s">
        <v>81</v>
      </c>
      <c r="C13" s="50">
        <v>1</v>
      </c>
      <c r="D13" s="50"/>
      <c r="E13" s="50"/>
      <c r="F13" s="121"/>
    </row>
    <row r="14" spans="2:6" ht="30" customHeight="1" x14ac:dyDescent="0.25"/>
    <row r="15" spans="2:6" ht="27" customHeight="1" x14ac:dyDescent="0.25">
      <c r="B15" s="1" t="s">
        <v>87</v>
      </c>
      <c r="F15" s="122" t="s">
        <v>260</v>
      </c>
    </row>
    <row r="16" spans="2:6" ht="27" customHeight="1" x14ac:dyDescent="0.25">
      <c r="B16" t="s">
        <v>80</v>
      </c>
      <c r="C16">
        <v>10</v>
      </c>
      <c r="F16" s="122"/>
    </row>
    <row r="17" spans="2:6" ht="27" customHeight="1" x14ac:dyDescent="0.25">
      <c r="B17" t="s">
        <v>81</v>
      </c>
      <c r="C17">
        <v>1</v>
      </c>
      <c r="F17" s="122"/>
    </row>
    <row r="19" spans="2:6" x14ac:dyDescent="0.25">
      <c r="B19" s="1" t="s">
        <v>119</v>
      </c>
      <c r="F19" s="121" t="s">
        <v>261</v>
      </c>
    </row>
    <row r="20" spans="2:6" x14ac:dyDescent="0.25">
      <c r="B20" s="12" t="s">
        <v>80</v>
      </c>
      <c r="C20">
        <v>1.5</v>
      </c>
      <c r="F20" s="121"/>
    </row>
    <row r="21" spans="2:6" x14ac:dyDescent="0.25">
      <c r="B21" s="13" t="s">
        <v>81</v>
      </c>
      <c r="C21">
        <v>1</v>
      </c>
      <c r="F21" s="121"/>
    </row>
    <row r="22" spans="2:6" x14ac:dyDescent="0.25">
      <c r="B22" s="13"/>
    </row>
    <row r="23" spans="2:6" x14ac:dyDescent="0.25">
      <c r="B23" s="1" t="s">
        <v>387</v>
      </c>
    </row>
    <row r="24" spans="2:6" ht="60" x14ac:dyDescent="0.25">
      <c r="B24" s="13" t="s">
        <v>80</v>
      </c>
      <c r="C24">
        <v>2</v>
      </c>
      <c r="F24" s="77" t="s">
        <v>415</v>
      </c>
    </row>
    <row r="25" spans="2:6" x14ac:dyDescent="0.25">
      <c r="B25" s="13" t="s">
        <v>81</v>
      </c>
      <c r="C25">
        <v>1</v>
      </c>
    </row>
    <row r="26" spans="2:6" x14ac:dyDescent="0.25">
      <c r="B26" s="13"/>
    </row>
    <row r="27" spans="2:6" ht="21.75" customHeight="1" x14ac:dyDescent="0.25">
      <c r="B27" s="1" t="s">
        <v>82</v>
      </c>
      <c r="F27" s="121" t="s">
        <v>259</v>
      </c>
    </row>
    <row r="28" spans="2:6" ht="21.75" customHeight="1" x14ac:dyDescent="0.25">
      <c r="B28" t="s">
        <v>121</v>
      </c>
      <c r="C28">
        <v>1</v>
      </c>
      <c r="F28" s="121"/>
    </row>
    <row r="29" spans="2:6" ht="21.75" customHeight="1" x14ac:dyDescent="0.25">
      <c r="B29" t="s">
        <v>120</v>
      </c>
      <c r="C29">
        <v>10</v>
      </c>
      <c r="F29" s="121"/>
    </row>
    <row r="30" spans="2:6" x14ac:dyDescent="0.25">
      <c r="F30" s="77"/>
    </row>
    <row r="31" spans="2:6" ht="37.5" customHeight="1" x14ac:dyDescent="0.25">
      <c r="B31" s="1" t="s">
        <v>122</v>
      </c>
      <c r="C31">
        <v>20</v>
      </c>
      <c r="F31" s="121" t="s">
        <v>262</v>
      </c>
    </row>
    <row r="32" spans="2:6" ht="37.5" customHeight="1" x14ac:dyDescent="0.25">
      <c r="F32" s="121"/>
    </row>
    <row r="33" spans="2:6" x14ac:dyDescent="0.25">
      <c r="B33" s="14" t="s">
        <v>113</v>
      </c>
      <c r="F33" s="121" t="s">
        <v>407</v>
      </c>
    </row>
    <row r="34" spans="2:6" x14ac:dyDescent="0.25">
      <c r="B34" t="s">
        <v>80</v>
      </c>
      <c r="C34">
        <v>2</v>
      </c>
      <c r="F34" s="121"/>
    </row>
    <row r="35" spans="2:6" x14ac:dyDescent="0.25">
      <c r="B35" t="s">
        <v>81</v>
      </c>
      <c r="C35">
        <v>1</v>
      </c>
      <c r="F35" s="121"/>
    </row>
    <row r="36" spans="2:6" x14ac:dyDescent="0.25">
      <c r="D36" s="1"/>
    </row>
    <row r="37" spans="2:6" x14ac:dyDescent="0.25">
      <c r="B37" s="14" t="s">
        <v>114</v>
      </c>
      <c r="F37" s="121" t="s">
        <v>408</v>
      </c>
    </row>
    <row r="38" spans="2:6" x14ac:dyDescent="0.25">
      <c r="B38" t="s">
        <v>80</v>
      </c>
      <c r="C38">
        <v>2</v>
      </c>
      <c r="D38" s="1"/>
      <c r="F38" s="121"/>
    </row>
    <row r="39" spans="2:6" x14ac:dyDescent="0.25">
      <c r="B39" t="s">
        <v>81</v>
      </c>
      <c r="C39">
        <v>1</v>
      </c>
      <c r="F39" s="121"/>
    </row>
    <row r="41" spans="2:6" x14ac:dyDescent="0.25">
      <c r="B41" s="14" t="s">
        <v>115</v>
      </c>
      <c r="F41" t="s">
        <v>256</v>
      </c>
    </row>
    <row r="42" spans="2:6" x14ac:dyDescent="0.25">
      <c r="B42" t="s">
        <v>80</v>
      </c>
      <c r="C42">
        <v>2</v>
      </c>
    </row>
    <row r="43" spans="2:6" x14ac:dyDescent="0.25">
      <c r="B43" t="s">
        <v>81</v>
      </c>
      <c r="C43">
        <v>1</v>
      </c>
    </row>
    <row r="44" spans="2:6" x14ac:dyDescent="0.25">
      <c r="F44" t="s">
        <v>409</v>
      </c>
    </row>
    <row r="45" spans="2:6" x14ac:dyDescent="0.25">
      <c r="B45" s="14" t="s">
        <v>116</v>
      </c>
    </row>
    <row r="46" spans="2:6" x14ac:dyDescent="0.25">
      <c r="B46" t="s">
        <v>80</v>
      </c>
      <c r="C46">
        <v>2</v>
      </c>
    </row>
    <row r="47" spans="2:6" x14ac:dyDescent="0.25">
      <c r="B47" t="s">
        <v>81</v>
      </c>
      <c r="C47">
        <v>1</v>
      </c>
    </row>
    <row r="48" spans="2:6" x14ac:dyDescent="0.25">
      <c r="F48" t="s">
        <v>381</v>
      </c>
    </row>
    <row r="49" spans="2:3" x14ac:dyDescent="0.25">
      <c r="B49" s="14" t="s">
        <v>384</v>
      </c>
    </row>
    <row r="50" spans="2:3" x14ac:dyDescent="0.25">
      <c r="B50" t="s">
        <v>80</v>
      </c>
      <c r="C50">
        <v>2</v>
      </c>
    </row>
    <row r="51" spans="2:3" x14ac:dyDescent="0.25">
      <c r="B51" t="s">
        <v>81</v>
      </c>
      <c r="C51">
        <v>1</v>
      </c>
    </row>
  </sheetData>
  <mergeCells count="9">
    <mergeCell ref="F27:F29"/>
    <mergeCell ref="F31:F32"/>
    <mergeCell ref="F33:F35"/>
    <mergeCell ref="F37:F39"/>
    <mergeCell ref="F2:F6"/>
    <mergeCell ref="F7:F9"/>
    <mergeCell ref="F11:F13"/>
    <mergeCell ref="F15:F17"/>
    <mergeCell ref="F19:F2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7F946-83AD-43D6-B440-0EF08A22A75F}">
  <sheetPr>
    <tabColor theme="9" tint="0.39997558519241921"/>
  </sheetPr>
  <dimension ref="A1:B37"/>
  <sheetViews>
    <sheetView workbookViewId="0">
      <selection activeCell="H3" sqref="H3"/>
    </sheetView>
  </sheetViews>
  <sheetFormatPr defaultRowHeight="15" x14ac:dyDescent="0.25"/>
  <cols>
    <col min="1" max="1" width="59.140625" customWidth="1"/>
    <col min="2" max="2" width="12" bestFit="1" customWidth="1"/>
  </cols>
  <sheetData>
    <row r="1" spans="1:2" x14ac:dyDescent="0.25">
      <c r="A1" s="1" t="s">
        <v>210</v>
      </c>
    </row>
    <row r="3" spans="1:2" x14ac:dyDescent="0.25">
      <c r="A3" s="1" t="s">
        <v>230</v>
      </c>
    </row>
    <row r="4" spans="1:2" x14ac:dyDescent="0.25">
      <c r="A4" s="13" t="s">
        <v>122</v>
      </c>
      <c r="B4">
        <f>D_DG_Wagons</f>
        <v>21</v>
      </c>
    </row>
    <row r="5" spans="1:2" x14ac:dyDescent="0.25">
      <c r="A5" t="s">
        <v>211</v>
      </c>
      <c r="B5">
        <f>1+B4/10</f>
        <v>3.1</v>
      </c>
    </row>
    <row r="6" spans="1:2" x14ac:dyDescent="0.25">
      <c r="A6" s="13" t="s">
        <v>118</v>
      </c>
      <c r="B6" cm="1">
        <f t="array" ref="B6">INDEX(D_speed_range,Derailment!F4,2)</f>
        <v>0.6</v>
      </c>
    </row>
    <row r="7" spans="1:2" x14ac:dyDescent="0.25">
      <c r="A7" s="13" t="s">
        <v>86</v>
      </c>
      <c r="B7" cm="1">
        <f t="array" ref="B7">INDEX(D_passenger_line,Derailment!F9,2)</f>
        <v>3</v>
      </c>
    </row>
    <row r="8" spans="1:2" x14ac:dyDescent="0.25">
      <c r="A8" s="13" t="s">
        <v>87</v>
      </c>
      <c r="B8" cm="1">
        <f t="array" ref="B8">INDEX(D_High_conseq,Derailment!F13,2)</f>
        <v>1</v>
      </c>
    </row>
    <row r="9" spans="1:2" x14ac:dyDescent="0.25">
      <c r="A9" s="13" t="s">
        <v>119</v>
      </c>
      <c r="B9" cm="1">
        <f t="array" ref="B9">INDEX(D_Multi_DG,Derailment!F17,2)</f>
        <v>1.5</v>
      </c>
    </row>
    <row r="10" spans="1:2" x14ac:dyDescent="0.25">
      <c r="A10" s="13" t="s">
        <v>82</v>
      </c>
      <c r="B10" cm="1">
        <f t="array" ref="B10">INDEX(D_DG_Stored,Derailment!F21,2)</f>
        <v>1</v>
      </c>
    </row>
    <row r="11" spans="1:2" x14ac:dyDescent="0.25">
      <c r="A11" s="13" t="s">
        <v>377</v>
      </c>
      <c r="B11" cm="1">
        <f t="array" ref="B11">INDEX(D_tops_error,Derailment!F28,2)</f>
        <v>1</v>
      </c>
    </row>
    <row r="12" spans="1:2" x14ac:dyDescent="0.25">
      <c r="A12" s="13" t="s">
        <v>232</v>
      </c>
      <c r="B12">
        <f>IF(SUM(Derailment!F32,Derailment!F33,Derailment!F36,Derailment!F37,Derailment!F38)/COUNT(Derailment!F32,Derailment!F33,Derailment!F36,Derailment!F37,Derailment!F38)&gt;1,1,0)</f>
        <v>1</v>
      </c>
    </row>
    <row r="13" spans="1:2" x14ac:dyDescent="0.25">
      <c r="A13" s="13"/>
    </row>
    <row r="15" spans="1:2" x14ac:dyDescent="0.25">
      <c r="A15" s="1" t="s">
        <v>204</v>
      </c>
    </row>
    <row r="16" spans="1:2" x14ac:dyDescent="0.25">
      <c r="A16" t="s">
        <v>201</v>
      </c>
      <c r="B16" cm="1">
        <f t="array" ref="B16">IF(B12=1,INDEX(D_Conseq_elec,Derailment!F51,2),1)</f>
        <v>1</v>
      </c>
    </row>
    <row r="17" spans="1:2" x14ac:dyDescent="0.25">
      <c r="A17" s="14" t="s">
        <v>202</v>
      </c>
      <c r="B17" cm="1">
        <f t="array" ref="B17">INDEX(D_conseq_BU,Derailment!F53,2)</f>
        <v>1</v>
      </c>
    </row>
    <row r="18" spans="1:2" x14ac:dyDescent="0.25">
      <c r="A18" s="14" t="s">
        <v>203</v>
      </c>
      <c r="B18" cm="1">
        <f t="array" ref="B18">INDEX(D_Conseq_Tunnel,Derailment!F55,2)</f>
        <v>1</v>
      </c>
    </row>
    <row r="19" spans="1:2" x14ac:dyDescent="0.25">
      <c r="A19" s="14" t="s">
        <v>206</v>
      </c>
      <c r="B19" cm="1">
        <f t="array" ref="B19">INDEX(D_Conseq_Bridge,Derailment!F57,2)</f>
        <v>1</v>
      </c>
    </row>
    <row r="20" spans="1:2" x14ac:dyDescent="0.25">
      <c r="A20" s="14" t="s">
        <v>385</v>
      </c>
      <c r="B20" cm="1">
        <f t="array" ref="B20">INDEX(D_conseq_water,Derailment!F59,2)</f>
        <v>1</v>
      </c>
    </row>
    <row r="22" spans="1:2" x14ac:dyDescent="0.25">
      <c r="A22" s="18" t="s">
        <v>212</v>
      </c>
      <c r="B22" s="1">
        <v>1</v>
      </c>
    </row>
    <row r="24" spans="1:2" x14ac:dyDescent="0.25">
      <c r="A24" s="14" t="s">
        <v>297</v>
      </c>
      <c r="B24">
        <f>PRODUCT(B5:B11,B16:B22)</f>
        <v>8.370000000000001</v>
      </c>
    </row>
    <row r="25" spans="1:2" x14ac:dyDescent="0.25">
      <c r="A25" s="13"/>
    </row>
    <row r="26" spans="1:2" x14ac:dyDescent="0.25">
      <c r="A26" s="13" t="s">
        <v>298</v>
      </c>
      <c r="B26" s="15">
        <f>IF(B24=0,0,LOG(B24*calib,2))</f>
        <v>16.929518336671222</v>
      </c>
    </row>
    <row r="27" spans="1:2" x14ac:dyDescent="0.25">
      <c r="A27" s="13"/>
    </row>
    <row r="29" spans="1:2" x14ac:dyDescent="0.25">
      <c r="A29" s="13"/>
    </row>
    <row r="30" spans="1:2" x14ac:dyDescent="0.25">
      <c r="A30" s="13"/>
    </row>
    <row r="31" spans="1:2" x14ac:dyDescent="0.25">
      <c r="A31" s="13"/>
    </row>
    <row r="33" spans="1:1" x14ac:dyDescent="0.25">
      <c r="A33" s="13"/>
    </row>
    <row r="34" spans="1:1" x14ac:dyDescent="0.25">
      <c r="A34" s="13"/>
    </row>
    <row r="35" spans="1:1" x14ac:dyDescent="0.25">
      <c r="A35" s="13"/>
    </row>
    <row r="37" spans="1:1" x14ac:dyDescent="0.25">
      <c r="A37" s="13"/>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94BF6-DC86-45C6-B7F3-CE752AA70DFC}">
  <sheetPr>
    <tabColor theme="9" tint="0.39997558519241921"/>
  </sheetPr>
  <dimension ref="B2:E53"/>
  <sheetViews>
    <sheetView topLeftCell="A38" workbookViewId="0">
      <selection activeCell="H3" sqref="H3"/>
    </sheetView>
  </sheetViews>
  <sheetFormatPr defaultRowHeight="15" x14ac:dyDescent="0.25"/>
  <cols>
    <col min="2" max="2" width="28.7109375" customWidth="1"/>
    <col min="5" max="5" width="148.7109375" customWidth="1"/>
  </cols>
  <sheetData>
    <row r="2" spans="2:5" x14ac:dyDescent="0.25">
      <c r="B2" s="1" t="s">
        <v>127</v>
      </c>
      <c r="E2" s="1" t="s">
        <v>255</v>
      </c>
    </row>
    <row r="3" spans="2:5" x14ac:dyDescent="0.25">
      <c r="B3" s="7" t="s">
        <v>84</v>
      </c>
      <c r="C3">
        <v>0.5</v>
      </c>
      <c r="E3" s="122" t="s">
        <v>411</v>
      </c>
    </row>
    <row r="4" spans="2:5" x14ac:dyDescent="0.25">
      <c r="B4" s="7" t="s">
        <v>85</v>
      </c>
      <c r="C4">
        <v>0.05</v>
      </c>
      <c r="E4" s="122"/>
    </row>
    <row r="5" spans="2:5" x14ac:dyDescent="0.25">
      <c r="B5" s="7" t="s">
        <v>89</v>
      </c>
      <c r="C5">
        <v>1E-3</v>
      </c>
      <c r="E5" s="122"/>
    </row>
    <row r="6" spans="2:5" x14ac:dyDescent="0.25">
      <c r="B6" s="7" t="s">
        <v>83</v>
      </c>
      <c r="C6">
        <v>0</v>
      </c>
      <c r="E6" s="122"/>
    </row>
    <row r="7" spans="2:5" x14ac:dyDescent="0.25">
      <c r="E7" s="123"/>
    </row>
    <row r="8" spans="2:5" x14ac:dyDescent="0.25">
      <c r="B8" s="1" t="s">
        <v>118</v>
      </c>
    </row>
    <row r="9" spans="2:5" x14ac:dyDescent="0.25">
      <c r="B9" s="24" t="s">
        <v>373</v>
      </c>
      <c r="C9">
        <v>1</v>
      </c>
      <c r="E9" s="122" t="s">
        <v>405</v>
      </c>
    </row>
    <row r="10" spans="2:5" x14ac:dyDescent="0.25">
      <c r="B10" s="24" t="s">
        <v>372</v>
      </c>
      <c r="C10">
        <v>0.6</v>
      </c>
      <c r="E10" s="122"/>
    </row>
    <row r="11" spans="2:5" x14ac:dyDescent="0.25">
      <c r="B11" s="24" t="s">
        <v>374</v>
      </c>
      <c r="C11">
        <v>0.2</v>
      </c>
      <c r="E11" s="122"/>
    </row>
    <row r="12" spans="2:5" x14ac:dyDescent="0.25">
      <c r="E12" s="122"/>
    </row>
    <row r="13" spans="2:5" ht="42" customHeight="1" x14ac:dyDescent="0.25">
      <c r="B13" s="1" t="s">
        <v>86</v>
      </c>
    </row>
    <row r="14" spans="2:5" ht="42" customHeight="1" x14ac:dyDescent="0.25">
      <c r="B14" t="s">
        <v>80</v>
      </c>
      <c r="C14">
        <v>5</v>
      </c>
      <c r="E14" s="122" t="s">
        <v>413</v>
      </c>
    </row>
    <row r="15" spans="2:5" ht="42" customHeight="1" x14ac:dyDescent="0.25">
      <c r="B15" t="s">
        <v>81</v>
      </c>
      <c r="C15">
        <v>1</v>
      </c>
      <c r="E15" s="122"/>
    </row>
    <row r="16" spans="2:5" ht="42" customHeight="1" x14ac:dyDescent="0.25">
      <c r="E16" s="122"/>
    </row>
    <row r="17" spans="2:5" x14ac:dyDescent="0.25">
      <c r="B17" s="1" t="s">
        <v>87</v>
      </c>
    </row>
    <row r="18" spans="2:5" ht="24.75" customHeight="1" x14ac:dyDescent="0.25">
      <c r="B18" t="s">
        <v>80</v>
      </c>
      <c r="C18">
        <v>10</v>
      </c>
      <c r="E18" s="122" t="s">
        <v>260</v>
      </c>
    </row>
    <row r="19" spans="2:5" ht="24.75" customHeight="1" x14ac:dyDescent="0.25">
      <c r="B19" t="s">
        <v>81</v>
      </c>
      <c r="C19">
        <v>1</v>
      </c>
      <c r="E19" s="122"/>
    </row>
    <row r="20" spans="2:5" ht="24.75" customHeight="1" x14ac:dyDescent="0.25">
      <c r="E20" s="122"/>
    </row>
    <row r="21" spans="2:5" x14ac:dyDescent="0.25">
      <c r="B21" s="1" t="s">
        <v>119</v>
      </c>
    </row>
    <row r="22" spans="2:5" x14ac:dyDescent="0.25">
      <c r="B22" s="12" t="s">
        <v>80</v>
      </c>
      <c r="C22">
        <v>1.5</v>
      </c>
      <c r="E22" s="121" t="s">
        <v>261</v>
      </c>
    </row>
    <row r="23" spans="2:5" x14ac:dyDescent="0.25">
      <c r="B23" s="13" t="s">
        <v>81</v>
      </c>
      <c r="C23">
        <v>1</v>
      </c>
      <c r="E23" s="121"/>
    </row>
    <row r="24" spans="2:5" x14ac:dyDescent="0.25">
      <c r="B24" s="13"/>
      <c r="E24" s="121"/>
    </row>
    <row r="25" spans="2:5" x14ac:dyDescent="0.25">
      <c r="B25" s="1" t="s">
        <v>82</v>
      </c>
    </row>
    <row r="26" spans="2:5" x14ac:dyDescent="0.25">
      <c r="B26" t="s">
        <v>121</v>
      </c>
      <c r="C26">
        <v>1</v>
      </c>
      <c r="E26" s="121" t="s">
        <v>259</v>
      </c>
    </row>
    <row r="27" spans="2:5" x14ac:dyDescent="0.25">
      <c r="B27" t="s">
        <v>120</v>
      </c>
      <c r="C27">
        <v>10</v>
      </c>
      <c r="E27" s="121"/>
    </row>
    <row r="28" spans="2:5" x14ac:dyDescent="0.25">
      <c r="E28" s="121"/>
    </row>
    <row r="29" spans="2:5" x14ac:dyDescent="0.25">
      <c r="B29" s="1" t="s">
        <v>122</v>
      </c>
      <c r="C29">
        <v>20</v>
      </c>
      <c r="E29" s="77"/>
    </row>
    <row r="30" spans="2:5" x14ac:dyDescent="0.25">
      <c r="B30" s="1"/>
      <c r="E30" s="121" t="s">
        <v>262</v>
      </c>
    </row>
    <row r="31" spans="2:5" x14ac:dyDescent="0.25">
      <c r="B31" s="54" t="s">
        <v>377</v>
      </c>
      <c r="C31" s="50"/>
      <c r="D31" s="50"/>
      <c r="E31" s="121"/>
    </row>
    <row r="32" spans="2:5" x14ac:dyDescent="0.25">
      <c r="B32" s="50" t="s">
        <v>80</v>
      </c>
      <c r="C32" s="80">
        <v>2</v>
      </c>
      <c r="D32" s="50"/>
      <c r="E32" s="77"/>
    </row>
    <row r="33" spans="2:5" ht="60" x14ac:dyDescent="0.25">
      <c r="B33" s="50" t="s">
        <v>81</v>
      </c>
      <c r="C33" s="80">
        <v>1</v>
      </c>
      <c r="D33" s="50"/>
      <c r="E33" s="77" t="s">
        <v>415</v>
      </c>
    </row>
    <row r="34" spans="2:5" x14ac:dyDescent="0.25">
      <c r="C34" s="47"/>
      <c r="E34" s="77"/>
    </row>
    <row r="35" spans="2:5" x14ac:dyDescent="0.25">
      <c r="B35" s="14" t="s">
        <v>113</v>
      </c>
      <c r="E35" s="77"/>
    </row>
    <row r="36" spans="2:5" x14ac:dyDescent="0.25">
      <c r="B36" t="s">
        <v>80</v>
      </c>
      <c r="C36">
        <v>1.5</v>
      </c>
    </row>
    <row r="37" spans="2:5" x14ac:dyDescent="0.25">
      <c r="B37" t="s">
        <v>81</v>
      </c>
      <c r="C37">
        <v>1</v>
      </c>
      <c r="E37" s="121" t="s">
        <v>412</v>
      </c>
    </row>
    <row r="38" spans="2:5" x14ac:dyDescent="0.25">
      <c r="D38" s="1"/>
      <c r="E38" s="121"/>
    </row>
    <row r="39" spans="2:5" x14ac:dyDescent="0.25">
      <c r="B39" s="14" t="s">
        <v>114</v>
      </c>
      <c r="E39" s="121"/>
    </row>
    <row r="40" spans="2:5" x14ac:dyDescent="0.25">
      <c r="B40" t="s">
        <v>80</v>
      </c>
      <c r="C40">
        <v>1.2</v>
      </c>
      <c r="D40" s="1"/>
    </row>
    <row r="41" spans="2:5" x14ac:dyDescent="0.25">
      <c r="B41" t="s">
        <v>81</v>
      </c>
      <c r="C41">
        <v>1</v>
      </c>
      <c r="E41" s="121" t="s">
        <v>410</v>
      </c>
    </row>
    <row r="42" spans="2:5" x14ac:dyDescent="0.25">
      <c r="E42" s="121"/>
    </row>
    <row r="43" spans="2:5" x14ac:dyDescent="0.25">
      <c r="B43" s="14" t="s">
        <v>115</v>
      </c>
      <c r="E43" s="121"/>
    </row>
    <row r="44" spans="2:5" x14ac:dyDescent="0.25">
      <c r="B44" t="s">
        <v>80</v>
      </c>
      <c r="C44">
        <v>1.2</v>
      </c>
    </row>
    <row r="45" spans="2:5" x14ac:dyDescent="0.25">
      <c r="B45" t="s">
        <v>81</v>
      </c>
      <c r="C45">
        <v>1</v>
      </c>
      <c r="E45" t="s">
        <v>256</v>
      </c>
    </row>
    <row r="47" spans="2:5" x14ac:dyDescent="0.25">
      <c r="B47" s="14" t="s">
        <v>116</v>
      </c>
    </row>
    <row r="48" spans="2:5" x14ac:dyDescent="0.25">
      <c r="B48" t="s">
        <v>80</v>
      </c>
      <c r="C48">
        <v>1.05</v>
      </c>
      <c r="E48" t="s">
        <v>257</v>
      </c>
    </row>
    <row r="49" spans="2:5" x14ac:dyDescent="0.25">
      <c r="B49" t="s">
        <v>81</v>
      </c>
      <c r="C49">
        <v>1</v>
      </c>
    </row>
    <row r="51" spans="2:5" x14ac:dyDescent="0.25">
      <c r="B51" s="14" t="s">
        <v>384</v>
      </c>
    </row>
    <row r="52" spans="2:5" x14ac:dyDescent="0.25">
      <c r="B52" t="s">
        <v>80</v>
      </c>
      <c r="C52">
        <v>1.2</v>
      </c>
      <c r="E52" t="s">
        <v>381</v>
      </c>
    </row>
    <row r="53" spans="2:5" x14ac:dyDescent="0.25">
      <c r="B53" t="s">
        <v>81</v>
      </c>
      <c r="C53">
        <v>1</v>
      </c>
    </row>
  </sheetData>
  <mergeCells count="9">
    <mergeCell ref="E30:E31"/>
    <mergeCell ref="E37:E39"/>
    <mergeCell ref="E41:E43"/>
    <mergeCell ref="E3:E7"/>
    <mergeCell ref="E9:E12"/>
    <mergeCell ref="E14:E16"/>
    <mergeCell ref="E18:E20"/>
    <mergeCell ref="E22:E24"/>
    <mergeCell ref="E26:E2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292F5-E8FC-47D8-A88D-494EBCD039E9}">
  <sheetPr>
    <tabColor theme="9" tint="0.39997558519241921"/>
  </sheetPr>
  <dimension ref="A1:B34"/>
  <sheetViews>
    <sheetView topLeftCell="A4" workbookViewId="0">
      <selection activeCell="H3" sqref="H3"/>
    </sheetView>
  </sheetViews>
  <sheetFormatPr defaultRowHeight="15" x14ac:dyDescent="0.25"/>
  <cols>
    <col min="1" max="1" width="59.140625" customWidth="1"/>
  </cols>
  <sheetData>
    <row r="1" spans="1:2" x14ac:dyDescent="0.25">
      <c r="A1" s="1" t="s">
        <v>210</v>
      </c>
    </row>
    <row r="3" spans="1:2" x14ac:dyDescent="0.25">
      <c r="A3" s="1" t="s">
        <v>238</v>
      </c>
    </row>
    <row r="4" spans="1:2" x14ac:dyDescent="0.25">
      <c r="A4" s="13" t="s">
        <v>122</v>
      </c>
      <c r="B4">
        <f>CP_DG_Wagons</f>
        <v>20</v>
      </c>
    </row>
    <row r="5" spans="1:2" x14ac:dyDescent="0.25">
      <c r="A5" t="s">
        <v>211</v>
      </c>
      <c r="B5">
        <f>1+B4/10</f>
        <v>3</v>
      </c>
    </row>
    <row r="6" spans="1:2" x14ac:dyDescent="0.25">
      <c r="A6" s="13" t="s">
        <v>237</v>
      </c>
      <c r="B6" cm="1">
        <f t="array" ref="B6">INDEX(collision_likelihood,'Collision Precursor'!F3,2)</f>
        <v>0.5</v>
      </c>
    </row>
    <row r="7" spans="1:2" x14ac:dyDescent="0.25">
      <c r="A7" s="13" t="s">
        <v>118</v>
      </c>
      <c r="B7" cm="1">
        <f t="array" ref="B7">INDEX(CP_speed_range,'Collision Precursor'!F9,2)</f>
        <v>1</v>
      </c>
    </row>
    <row r="8" spans="1:2" x14ac:dyDescent="0.25">
      <c r="A8" s="13" t="s">
        <v>86</v>
      </c>
      <c r="B8" cm="1">
        <f t="array" ref="B8">INDEX(CP_passenger_line,'Collision Precursor'!F14,2)</f>
        <v>1</v>
      </c>
    </row>
    <row r="9" spans="1:2" x14ac:dyDescent="0.25">
      <c r="A9" s="13" t="s">
        <v>87</v>
      </c>
      <c r="B9" cm="1">
        <f t="array" ref="B9">INDEX(CP_High_conseq,'Collision Precursor'!F18,2)</f>
        <v>10</v>
      </c>
    </row>
    <row r="10" spans="1:2" x14ac:dyDescent="0.25">
      <c r="A10" s="13" t="s">
        <v>119</v>
      </c>
      <c r="B10" cm="1">
        <f t="array" ref="B10">INDEX(CP_Multi_DG,'Collision Precursor'!F22,2)</f>
        <v>1.5</v>
      </c>
    </row>
    <row r="11" spans="1:2" x14ac:dyDescent="0.25">
      <c r="A11" s="13" t="s">
        <v>82</v>
      </c>
      <c r="B11" cm="1">
        <f t="array" ref="B11">INDEX(CP_DG_Stored,'Collision Precursor'!F26,2)</f>
        <v>10</v>
      </c>
    </row>
    <row r="12" spans="1:2" x14ac:dyDescent="0.25">
      <c r="A12" s="13" t="s">
        <v>388</v>
      </c>
      <c r="B12" cm="1">
        <f t="array" ref="B12">INDEX(CP_TOPS_error,'Collision Precursor'!F33,2)</f>
        <v>2</v>
      </c>
    </row>
    <row r="13" spans="1:2" x14ac:dyDescent="0.25">
      <c r="A13" s="1" t="s">
        <v>204</v>
      </c>
    </row>
    <row r="14" spans="1:2" x14ac:dyDescent="0.25">
      <c r="A14" t="s">
        <v>201</v>
      </c>
      <c r="B14" cm="1">
        <f t="array" ref="B14">INDEX(CP_Conseq_elec,'Collision Precursor'!F37,2)</f>
        <v>1.5</v>
      </c>
    </row>
    <row r="15" spans="1:2" x14ac:dyDescent="0.25">
      <c r="A15" s="14" t="s">
        <v>202</v>
      </c>
      <c r="B15" cm="1">
        <f t="array" ref="B15">INDEX(CP_conseq_BU,'Collision Precursor'!F39,2)</f>
        <v>1.2</v>
      </c>
    </row>
    <row r="16" spans="1:2" x14ac:dyDescent="0.25">
      <c r="A16" s="14" t="s">
        <v>203</v>
      </c>
      <c r="B16" cm="1">
        <f t="array" ref="B16">INDEX(CP_Conseq_Tunnel,'Collision Precursor'!F41,2)</f>
        <v>1.2</v>
      </c>
    </row>
    <row r="17" spans="1:2" x14ac:dyDescent="0.25">
      <c r="A17" s="14" t="s">
        <v>206</v>
      </c>
      <c r="B17" cm="1">
        <f t="array" ref="B17">INDEX(CP_Conseq_Bridge,'Collision Precursor'!F43,2)</f>
        <v>1.05</v>
      </c>
    </row>
    <row r="18" spans="1:2" x14ac:dyDescent="0.25">
      <c r="A18" s="14" t="s">
        <v>386</v>
      </c>
      <c r="B18" cm="1">
        <f t="array" ref="B18">INDEX(CP_Conseq_water,'Collision Precursor'!F45,2)</f>
        <v>1.2</v>
      </c>
    </row>
    <row r="19" spans="1:2" x14ac:dyDescent="0.25">
      <c r="A19" s="18" t="s">
        <v>212</v>
      </c>
      <c r="B19" s="1">
        <v>1</v>
      </c>
    </row>
    <row r="21" spans="1:2" x14ac:dyDescent="0.25">
      <c r="A21" s="14" t="s">
        <v>297</v>
      </c>
      <c r="B21">
        <f>PRODUCT(B5:B19)</f>
        <v>1224.72</v>
      </c>
    </row>
    <row r="22" spans="1:2" x14ac:dyDescent="0.25">
      <c r="A22" s="13"/>
    </row>
    <row r="23" spans="1:2" x14ac:dyDescent="0.25">
      <c r="A23" s="13" t="s">
        <v>298</v>
      </c>
      <c r="B23" s="15">
        <f>LOG(B21*calib,2)</f>
        <v>24.122526951226575</v>
      </c>
    </row>
    <row r="24" spans="1:2" x14ac:dyDescent="0.25">
      <c r="A24" s="13"/>
    </row>
    <row r="26" spans="1:2" x14ac:dyDescent="0.25">
      <c r="A26" s="13"/>
    </row>
    <row r="27" spans="1:2" x14ac:dyDescent="0.25">
      <c r="A27" s="13"/>
    </row>
    <row r="28" spans="1:2" x14ac:dyDescent="0.25">
      <c r="A28" s="13"/>
    </row>
    <row r="30" spans="1:2" x14ac:dyDescent="0.25">
      <c r="A30" s="13"/>
    </row>
    <row r="31" spans="1:2" x14ac:dyDescent="0.25">
      <c r="A31" s="13"/>
    </row>
    <row r="32" spans="1:2" x14ac:dyDescent="0.25">
      <c r="A32" s="13"/>
    </row>
    <row r="34" spans="1:1" x14ac:dyDescent="0.25">
      <c r="A34" s="13"/>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6AFF0-6D3A-466E-98F2-D98EB8014070}">
  <sheetPr>
    <tabColor theme="9" tint="0.39997558519241921"/>
  </sheetPr>
  <dimension ref="B1:F55"/>
  <sheetViews>
    <sheetView topLeftCell="A29" workbookViewId="0">
      <selection activeCell="H3" sqref="H3"/>
    </sheetView>
  </sheetViews>
  <sheetFormatPr defaultRowHeight="15" x14ac:dyDescent="0.25"/>
  <cols>
    <col min="2" max="2" width="28.7109375" customWidth="1"/>
    <col min="6" max="6" width="138.28515625" customWidth="1"/>
  </cols>
  <sheetData>
    <row r="1" spans="2:6" x14ac:dyDescent="0.25">
      <c r="F1" s="1" t="s">
        <v>255</v>
      </c>
    </row>
    <row r="2" spans="2:6" x14ac:dyDescent="0.25">
      <c r="B2" t="s">
        <v>229</v>
      </c>
      <c r="F2" s="121"/>
    </row>
    <row r="3" spans="2:6" x14ac:dyDescent="0.25">
      <c r="B3" t="s">
        <v>2</v>
      </c>
      <c r="F3" s="121"/>
    </row>
    <row r="4" spans="2:6" x14ac:dyDescent="0.25">
      <c r="B4" t="s">
        <v>0</v>
      </c>
      <c r="F4" s="121"/>
    </row>
    <row r="5" spans="2:6" x14ac:dyDescent="0.25">
      <c r="F5" s="121"/>
    </row>
    <row r="6" spans="2:6" x14ac:dyDescent="0.25">
      <c r="B6" s="1" t="s">
        <v>118</v>
      </c>
      <c r="F6" s="124"/>
    </row>
    <row r="7" spans="2:6" x14ac:dyDescent="0.25">
      <c r="B7" s="24" t="s">
        <v>373</v>
      </c>
      <c r="C7">
        <v>1</v>
      </c>
      <c r="F7" s="121" t="s">
        <v>405</v>
      </c>
    </row>
    <row r="8" spans="2:6" x14ac:dyDescent="0.25">
      <c r="B8" s="24" t="s">
        <v>372</v>
      </c>
      <c r="C8">
        <v>0.6</v>
      </c>
      <c r="E8" s="7"/>
      <c r="F8" s="121"/>
    </row>
    <row r="9" spans="2:6" x14ac:dyDescent="0.25">
      <c r="B9" s="24" t="s">
        <v>374</v>
      </c>
      <c r="C9">
        <v>0.2</v>
      </c>
      <c r="F9" s="121"/>
    </row>
    <row r="10" spans="2:6" x14ac:dyDescent="0.25">
      <c r="F10" s="77"/>
    </row>
    <row r="11" spans="2:6" x14ac:dyDescent="0.25">
      <c r="B11" s="1" t="s">
        <v>86</v>
      </c>
      <c r="F11" s="121" t="s">
        <v>413</v>
      </c>
    </row>
    <row r="12" spans="2:6" ht="49.5" customHeight="1" x14ac:dyDescent="0.25">
      <c r="B12" t="s">
        <v>80</v>
      </c>
      <c r="C12">
        <v>5</v>
      </c>
      <c r="F12" s="121"/>
    </row>
    <row r="13" spans="2:6" ht="42.75" customHeight="1" x14ac:dyDescent="0.25">
      <c r="B13" t="s">
        <v>81</v>
      </c>
      <c r="C13">
        <v>1</v>
      </c>
      <c r="F13" s="121"/>
    </row>
    <row r="15" spans="2:6" x14ac:dyDescent="0.25">
      <c r="B15" s="1" t="s">
        <v>87</v>
      </c>
      <c r="F15" s="122" t="s">
        <v>260</v>
      </c>
    </row>
    <row r="16" spans="2:6" x14ac:dyDescent="0.25">
      <c r="B16" t="s">
        <v>80</v>
      </c>
      <c r="C16">
        <v>10</v>
      </c>
      <c r="F16" s="122"/>
    </row>
    <row r="17" spans="2:6" ht="30" customHeight="1" x14ac:dyDescent="0.25">
      <c r="B17" t="s">
        <v>81</v>
      </c>
      <c r="C17">
        <v>1</v>
      </c>
      <c r="F17" s="122"/>
    </row>
    <row r="19" spans="2:6" x14ac:dyDescent="0.25">
      <c r="B19" s="1" t="s">
        <v>119</v>
      </c>
      <c r="F19" s="121" t="s">
        <v>261</v>
      </c>
    </row>
    <row r="20" spans="2:6" x14ac:dyDescent="0.25">
      <c r="B20" s="12" t="s">
        <v>80</v>
      </c>
      <c r="C20">
        <v>1.5</v>
      </c>
      <c r="F20" s="121"/>
    </row>
    <row r="21" spans="2:6" x14ac:dyDescent="0.25">
      <c r="B21" s="13" t="s">
        <v>81</v>
      </c>
      <c r="C21">
        <v>1</v>
      </c>
      <c r="F21" s="121"/>
    </row>
    <row r="22" spans="2:6" x14ac:dyDescent="0.25">
      <c r="B22" s="13"/>
    </row>
    <row r="23" spans="2:6" x14ac:dyDescent="0.25">
      <c r="B23" s="1" t="s">
        <v>82</v>
      </c>
    </row>
    <row r="24" spans="2:6" ht="60" x14ac:dyDescent="0.25">
      <c r="B24" t="s">
        <v>121</v>
      </c>
      <c r="C24">
        <v>1</v>
      </c>
      <c r="F24" s="77" t="s">
        <v>406</v>
      </c>
    </row>
    <row r="25" spans="2:6" x14ac:dyDescent="0.25">
      <c r="B25" t="s">
        <v>120</v>
      </c>
      <c r="C25">
        <v>10</v>
      </c>
    </row>
    <row r="27" spans="2:6" x14ac:dyDescent="0.25">
      <c r="B27" s="1" t="s">
        <v>122</v>
      </c>
      <c r="C27">
        <v>20</v>
      </c>
      <c r="F27" s="121" t="s">
        <v>259</v>
      </c>
    </row>
    <row r="28" spans="2:6" x14ac:dyDescent="0.25">
      <c r="B28" s="1"/>
      <c r="F28" s="121"/>
    </row>
    <row r="29" spans="2:6" x14ac:dyDescent="0.25">
      <c r="B29" s="1" t="s">
        <v>387</v>
      </c>
      <c r="F29" s="121"/>
    </row>
    <row r="30" spans="2:6" x14ac:dyDescent="0.25">
      <c r="B30" s="13" t="s">
        <v>80</v>
      </c>
      <c r="C30">
        <v>2</v>
      </c>
      <c r="F30" s="77"/>
    </row>
    <row r="31" spans="2:6" x14ac:dyDescent="0.25">
      <c r="B31" s="13" t="s">
        <v>81</v>
      </c>
      <c r="C31">
        <v>1</v>
      </c>
      <c r="F31" s="121" t="s">
        <v>262</v>
      </c>
    </row>
    <row r="32" spans="2:6" x14ac:dyDescent="0.25">
      <c r="B32" s="13"/>
      <c r="F32" s="121"/>
    </row>
    <row r="33" spans="2:6" x14ac:dyDescent="0.25">
      <c r="B33" s="14" t="s">
        <v>113</v>
      </c>
      <c r="F33" s="121" t="s">
        <v>417</v>
      </c>
    </row>
    <row r="34" spans="2:6" x14ac:dyDescent="0.25">
      <c r="B34" t="s">
        <v>80</v>
      </c>
      <c r="C34">
        <v>2</v>
      </c>
      <c r="F34" s="121"/>
    </row>
    <row r="35" spans="2:6" x14ac:dyDescent="0.25">
      <c r="B35" t="s">
        <v>81</v>
      </c>
      <c r="C35">
        <v>1</v>
      </c>
      <c r="F35" s="121"/>
    </row>
    <row r="36" spans="2:6" x14ac:dyDescent="0.25">
      <c r="D36" s="1"/>
    </row>
    <row r="37" spans="2:6" x14ac:dyDescent="0.25">
      <c r="B37" s="14" t="s">
        <v>114</v>
      </c>
      <c r="F37" s="121" t="s">
        <v>408</v>
      </c>
    </row>
    <row r="38" spans="2:6" x14ac:dyDescent="0.25">
      <c r="B38" t="s">
        <v>80</v>
      </c>
      <c r="C38">
        <v>2</v>
      </c>
      <c r="D38" s="1"/>
      <c r="F38" s="121"/>
    </row>
    <row r="39" spans="2:6" x14ac:dyDescent="0.25">
      <c r="B39" t="s">
        <v>81</v>
      </c>
      <c r="C39">
        <v>1</v>
      </c>
      <c r="F39" s="121"/>
    </row>
    <row r="41" spans="2:6" x14ac:dyDescent="0.25">
      <c r="B41" s="14" t="s">
        <v>115</v>
      </c>
    </row>
    <row r="42" spans="2:6" x14ac:dyDescent="0.25">
      <c r="B42" t="s">
        <v>80</v>
      </c>
      <c r="C42">
        <v>2</v>
      </c>
      <c r="F42" t="s">
        <v>256</v>
      </c>
    </row>
    <row r="43" spans="2:6" x14ac:dyDescent="0.25">
      <c r="B43" t="s">
        <v>81</v>
      </c>
      <c r="C43">
        <v>1</v>
      </c>
    </row>
    <row r="45" spans="2:6" x14ac:dyDescent="0.25">
      <c r="B45" s="14" t="s">
        <v>116</v>
      </c>
      <c r="F45" t="s">
        <v>409</v>
      </c>
    </row>
    <row r="46" spans="2:6" x14ac:dyDescent="0.25">
      <c r="B46" t="s">
        <v>80</v>
      </c>
      <c r="C46">
        <v>2</v>
      </c>
    </row>
    <row r="47" spans="2:6" x14ac:dyDescent="0.25">
      <c r="B47" t="s">
        <v>81</v>
      </c>
      <c r="C47">
        <v>1</v>
      </c>
    </row>
    <row r="49" spans="2:6" x14ac:dyDescent="0.25">
      <c r="B49" s="14" t="s">
        <v>384</v>
      </c>
      <c r="F49" t="s">
        <v>381</v>
      </c>
    </row>
    <row r="50" spans="2:6" x14ac:dyDescent="0.25">
      <c r="B50" t="s">
        <v>80</v>
      </c>
      <c r="C50">
        <v>2</v>
      </c>
    </row>
    <row r="51" spans="2:6" x14ac:dyDescent="0.25">
      <c r="B51" t="s">
        <v>81</v>
      </c>
      <c r="C51">
        <v>1</v>
      </c>
    </row>
    <row r="55" spans="2:6" x14ac:dyDescent="0.25">
      <c r="B55" t="s">
        <v>209</v>
      </c>
    </row>
  </sheetData>
  <mergeCells count="9">
    <mergeCell ref="F31:F32"/>
    <mergeCell ref="F33:F35"/>
    <mergeCell ref="F37:F39"/>
    <mergeCell ref="F2:F6"/>
    <mergeCell ref="F7:F9"/>
    <mergeCell ref="F11:F13"/>
    <mergeCell ref="F15:F17"/>
    <mergeCell ref="F19:F21"/>
    <mergeCell ref="F27:F29"/>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FF98B-EC3C-4774-8C31-A28DC19EA426}">
  <sheetPr>
    <tabColor theme="9" tint="0.39997558519241921"/>
  </sheetPr>
  <dimension ref="A1:B36"/>
  <sheetViews>
    <sheetView topLeftCell="A18" workbookViewId="0">
      <selection activeCell="H3" sqref="H3"/>
    </sheetView>
  </sheetViews>
  <sheetFormatPr defaultRowHeight="15" x14ac:dyDescent="0.25"/>
  <cols>
    <col min="1" max="1" width="59.140625" customWidth="1"/>
  </cols>
  <sheetData>
    <row r="1" spans="1:2" x14ac:dyDescent="0.25">
      <c r="A1" s="1" t="s">
        <v>210</v>
      </c>
    </row>
    <row r="3" spans="1:2" x14ac:dyDescent="0.25">
      <c r="A3" s="1" t="s">
        <v>110</v>
      </c>
    </row>
    <row r="4" spans="1:2" x14ac:dyDescent="0.25">
      <c r="A4" s="13" t="s">
        <v>122</v>
      </c>
      <c r="B4" cm="1">
        <f t="array" ref="B4">Coll_DG_Wagons</f>
        <v>12</v>
      </c>
    </row>
    <row r="5" spans="1:2" x14ac:dyDescent="0.25">
      <c r="A5" t="s">
        <v>211</v>
      </c>
      <c r="B5">
        <f>1+B4/10</f>
        <v>2.2000000000000002</v>
      </c>
    </row>
    <row r="6" spans="1:2" x14ac:dyDescent="0.25">
      <c r="A6" s="13" t="s">
        <v>118</v>
      </c>
      <c r="B6" cm="1">
        <f t="array" ref="B6">INDEX(Coll_speed_range,Collision!F4,2)</f>
        <v>1</v>
      </c>
    </row>
    <row r="7" spans="1:2" x14ac:dyDescent="0.25">
      <c r="A7" s="13" t="s">
        <v>86</v>
      </c>
      <c r="B7" cm="1">
        <f t="array" ref="B7">INDEX(Coll_passenger_line,Collision!F9,2)</f>
        <v>5</v>
      </c>
    </row>
    <row r="8" spans="1:2" x14ac:dyDescent="0.25">
      <c r="A8" s="13" t="s">
        <v>87</v>
      </c>
      <c r="B8" cm="1">
        <f t="array" ref="B8">INDEX(Coll_High_conseq,Collision!F13,2)</f>
        <v>1</v>
      </c>
    </row>
    <row r="9" spans="1:2" x14ac:dyDescent="0.25">
      <c r="A9" s="13" t="s">
        <v>119</v>
      </c>
      <c r="B9" cm="1">
        <f t="array" ref="B9">INDEX(Coll_Multi_DG,Collision!F17,2)</f>
        <v>1</v>
      </c>
    </row>
    <row r="10" spans="1:2" x14ac:dyDescent="0.25">
      <c r="A10" s="13" t="s">
        <v>82</v>
      </c>
      <c r="B10" cm="1">
        <f t="array" ref="B10">INDEX(Coll_DG_Stored,Collision!F21,2)</f>
        <v>10</v>
      </c>
    </row>
    <row r="11" spans="1:2" x14ac:dyDescent="0.25">
      <c r="A11" s="13" t="s">
        <v>388</v>
      </c>
      <c r="B11" cm="1">
        <f t="array" ref="B11">INDEX(Coll_tops_error,Collision!F28,2)</f>
        <v>1</v>
      </c>
    </row>
    <row r="12" spans="1:2" x14ac:dyDescent="0.25">
      <c r="A12" s="13" t="s">
        <v>232</v>
      </c>
      <c r="B12">
        <f>IF(SUM(Collision!F32,Collision!F33,Collision!F36,Collision!F37,Collision!F38)/COUNT(Collision!F32,Collision!F33,Collision!F36,Collision!F37,Collision!F38)&lt;2,1,0)</f>
        <v>1</v>
      </c>
    </row>
    <row r="13" spans="1:2" x14ac:dyDescent="0.25">
      <c r="A13" s="13"/>
    </row>
    <row r="15" spans="1:2" x14ac:dyDescent="0.25">
      <c r="A15" s="1" t="s">
        <v>204</v>
      </c>
    </row>
    <row r="16" spans="1:2" x14ac:dyDescent="0.25">
      <c r="A16" t="s">
        <v>201</v>
      </c>
      <c r="B16" cm="1">
        <f t="array" ref="B16">IF(B12=1,INDEX(Coll_Conseq_elec,Collision!F51,2),1)</f>
        <v>2</v>
      </c>
    </row>
    <row r="17" spans="1:2" x14ac:dyDescent="0.25">
      <c r="A17" s="14" t="s">
        <v>202</v>
      </c>
      <c r="B17" cm="1">
        <f t="array" ref="B17">INDEX(Coll_conseq_BU,Collision!F53,2)</f>
        <v>2</v>
      </c>
    </row>
    <row r="18" spans="1:2" x14ac:dyDescent="0.25">
      <c r="A18" s="14" t="s">
        <v>203</v>
      </c>
      <c r="B18" cm="1">
        <f t="array" ref="B18">INDEX(Coll_Conseq_Tunnel,Collision!F55,2)</f>
        <v>1</v>
      </c>
    </row>
    <row r="19" spans="1:2" x14ac:dyDescent="0.25">
      <c r="A19" s="14" t="s">
        <v>206</v>
      </c>
      <c r="B19" cm="1">
        <f t="array" ref="B19">INDEX(Coll_Conseq_Bridge,Collision!F57,2)</f>
        <v>1</v>
      </c>
    </row>
    <row r="20" spans="1:2" x14ac:dyDescent="0.25">
      <c r="A20" s="14" t="s">
        <v>389</v>
      </c>
      <c r="B20" cm="1">
        <f t="array" ref="B20">INDEX(Coll_tops_error,Collision!F59,2)</f>
        <v>1</v>
      </c>
    </row>
    <row r="21" spans="1:2" x14ac:dyDescent="0.25">
      <c r="A21" s="18" t="s">
        <v>212</v>
      </c>
      <c r="B21" s="1">
        <v>1</v>
      </c>
    </row>
    <row r="23" spans="1:2" x14ac:dyDescent="0.25">
      <c r="A23" s="14" t="s">
        <v>297</v>
      </c>
      <c r="B23">
        <f>PRODUCT(B5:B11,B16:B21)</f>
        <v>440</v>
      </c>
    </row>
    <row r="24" spans="1:2" x14ac:dyDescent="0.25">
      <c r="A24" s="13"/>
    </row>
    <row r="25" spans="1:2" x14ac:dyDescent="0.25">
      <c r="A25" s="13" t="s">
        <v>298</v>
      </c>
      <c r="B25" s="15">
        <f>IF(B23=0,0,LOG(B23*calib,2))</f>
        <v>22.645650427420261</v>
      </c>
    </row>
    <row r="26" spans="1:2" x14ac:dyDescent="0.25">
      <c r="A26" s="13"/>
    </row>
    <row r="28" spans="1:2" x14ac:dyDescent="0.25">
      <c r="A28" s="13"/>
    </row>
    <row r="29" spans="1:2" x14ac:dyDescent="0.25">
      <c r="A29" s="13"/>
    </row>
    <row r="30" spans="1:2" x14ac:dyDescent="0.25">
      <c r="A30" s="13"/>
    </row>
    <row r="32" spans="1:2" x14ac:dyDescent="0.25">
      <c r="A32" s="13"/>
    </row>
    <row r="33" spans="1:1" x14ac:dyDescent="0.25">
      <c r="A33" s="13"/>
    </row>
    <row r="34" spans="1:1" x14ac:dyDescent="0.25">
      <c r="A34" s="13"/>
    </row>
    <row r="36" spans="1:1" x14ac:dyDescent="0.25">
      <c r="A36" s="13"/>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1EA22-3D52-42F8-B4C3-8BC2505D8961}">
  <sheetPr>
    <tabColor theme="9" tint="0.39997558519241921"/>
  </sheetPr>
  <dimension ref="B1:E61"/>
  <sheetViews>
    <sheetView topLeftCell="A46" workbookViewId="0">
      <selection activeCell="H3" sqref="H3"/>
    </sheetView>
  </sheetViews>
  <sheetFormatPr defaultRowHeight="15" x14ac:dyDescent="0.25"/>
  <cols>
    <col min="2" max="2" width="28.7109375" customWidth="1"/>
    <col min="5" max="5" width="138.28515625" customWidth="1"/>
  </cols>
  <sheetData>
    <row r="1" spans="2:5" x14ac:dyDescent="0.25">
      <c r="E1" s="1" t="s">
        <v>255</v>
      </c>
    </row>
    <row r="2" spans="2:5" x14ac:dyDescent="0.25">
      <c r="B2" t="s">
        <v>229</v>
      </c>
      <c r="E2" s="121"/>
    </row>
    <row r="3" spans="2:5" x14ac:dyDescent="0.25">
      <c r="B3" t="s">
        <v>2</v>
      </c>
      <c r="E3" s="121"/>
    </row>
    <row r="4" spans="2:5" x14ac:dyDescent="0.25">
      <c r="B4" t="s">
        <v>0</v>
      </c>
      <c r="E4" s="121"/>
    </row>
    <row r="5" spans="2:5" x14ac:dyDescent="0.25">
      <c r="E5" s="121"/>
    </row>
    <row r="6" spans="2:5" x14ac:dyDescent="0.25">
      <c r="B6" s="1" t="s">
        <v>149</v>
      </c>
      <c r="E6" s="124"/>
    </row>
    <row r="7" spans="2:5" x14ac:dyDescent="0.25">
      <c r="B7" s="7" t="s">
        <v>2</v>
      </c>
      <c r="C7">
        <v>1</v>
      </c>
      <c r="E7" s="121" t="s">
        <v>418</v>
      </c>
    </row>
    <row r="8" spans="2:5" x14ac:dyDescent="0.25">
      <c r="B8" s="7" t="s">
        <v>0</v>
      </c>
      <c r="C8">
        <v>1E-3</v>
      </c>
      <c r="E8" s="121"/>
    </row>
    <row r="9" spans="2:5" x14ac:dyDescent="0.25">
      <c r="B9" s="7"/>
      <c r="E9" s="121"/>
    </row>
    <row r="10" spans="2:5" x14ac:dyDescent="0.25">
      <c r="B10" s="1" t="s">
        <v>441</v>
      </c>
      <c r="E10" s="99"/>
    </row>
    <row r="11" spans="2:5" ht="30" x14ac:dyDescent="0.25">
      <c r="B11" s="7" t="s">
        <v>2</v>
      </c>
      <c r="C11">
        <v>1</v>
      </c>
      <c r="E11" s="99" t="s">
        <v>442</v>
      </c>
    </row>
    <row r="12" spans="2:5" x14ac:dyDescent="0.25">
      <c r="B12" s="7" t="s">
        <v>0</v>
      </c>
      <c r="C12">
        <v>0</v>
      </c>
      <c r="E12" s="99"/>
    </row>
    <row r="13" spans="2:5" x14ac:dyDescent="0.25">
      <c r="B13" s="7"/>
      <c r="E13" s="99"/>
    </row>
    <row r="14" spans="2:5" x14ac:dyDescent="0.25">
      <c r="B14" s="1" t="s">
        <v>147</v>
      </c>
      <c r="E14" s="77"/>
    </row>
    <row r="15" spans="2:5" x14ac:dyDescent="0.25">
      <c r="B15" s="7" t="s">
        <v>84</v>
      </c>
      <c r="C15">
        <v>0.5</v>
      </c>
      <c r="E15" s="122" t="s">
        <v>419</v>
      </c>
    </row>
    <row r="16" spans="2:5" x14ac:dyDescent="0.25">
      <c r="B16" s="7" t="s">
        <v>85</v>
      </c>
      <c r="C16">
        <v>0.05</v>
      </c>
      <c r="E16" s="122"/>
    </row>
    <row r="17" spans="2:5" x14ac:dyDescent="0.25">
      <c r="B17" s="7" t="s">
        <v>89</v>
      </c>
      <c r="C17">
        <v>1E-3</v>
      </c>
      <c r="E17" s="122"/>
    </row>
    <row r="18" spans="2:5" x14ac:dyDescent="0.25">
      <c r="B18" s="7" t="s">
        <v>83</v>
      </c>
      <c r="C18">
        <v>0</v>
      </c>
      <c r="E18" s="122"/>
    </row>
    <row r="19" spans="2:5" ht="15" customHeight="1" x14ac:dyDescent="0.25">
      <c r="B19" s="7"/>
      <c r="E19" s="123"/>
    </row>
    <row r="21" spans="2:5" x14ac:dyDescent="0.25">
      <c r="B21" s="1" t="s">
        <v>86</v>
      </c>
    </row>
    <row r="22" spans="2:5" ht="120" x14ac:dyDescent="0.25">
      <c r="B22" t="s">
        <v>80</v>
      </c>
      <c r="C22">
        <v>1.5</v>
      </c>
      <c r="E22" s="77" t="s">
        <v>413</v>
      </c>
    </row>
    <row r="23" spans="2:5" ht="15" customHeight="1" x14ac:dyDescent="0.25">
      <c r="B23" t="s">
        <v>81</v>
      </c>
      <c r="C23">
        <v>1</v>
      </c>
      <c r="E23" s="77"/>
    </row>
    <row r="24" spans="2:5" x14ac:dyDescent="0.25">
      <c r="E24" s="77"/>
    </row>
    <row r="25" spans="2:5" x14ac:dyDescent="0.25">
      <c r="B25" s="1" t="s">
        <v>87</v>
      </c>
    </row>
    <row r="26" spans="2:5" ht="75" x14ac:dyDescent="0.25">
      <c r="B26" t="s">
        <v>80</v>
      </c>
      <c r="C26">
        <v>10</v>
      </c>
      <c r="E26" s="78" t="s">
        <v>260</v>
      </c>
    </row>
    <row r="27" spans="2:5" x14ac:dyDescent="0.25">
      <c r="B27" t="s">
        <v>81</v>
      </c>
      <c r="C27">
        <v>1</v>
      </c>
      <c r="E27" s="78"/>
    </row>
    <row r="28" spans="2:5" x14ac:dyDescent="0.25">
      <c r="E28" s="78"/>
    </row>
    <row r="29" spans="2:5" x14ac:dyDescent="0.25">
      <c r="B29" s="1" t="s">
        <v>119</v>
      </c>
    </row>
    <row r="30" spans="2:5" ht="60" x14ac:dyDescent="0.25">
      <c r="B30" s="12" t="s">
        <v>80</v>
      </c>
      <c r="C30">
        <v>1.5</v>
      </c>
      <c r="E30" s="77" t="s">
        <v>261</v>
      </c>
    </row>
    <row r="31" spans="2:5" ht="15" customHeight="1" x14ac:dyDescent="0.25">
      <c r="B31" s="13" t="s">
        <v>81</v>
      </c>
      <c r="C31">
        <v>1</v>
      </c>
      <c r="E31" s="77"/>
    </row>
    <row r="32" spans="2:5" x14ac:dyDescent="0.25">
      <c r="B32" s="13"/>
      <c r="E32" s="77"/>
    </row>
    <row r="33" spans="2:5" x14ac:dyDescent="0.25">
      <c r="B33" s="1" t="s">
        <v>82</v>
      </c>
    </row>
    <row r="34" spans="2:5" ht="60" x14ac:dyDescent="0.25">
      <c r="B34" t="s">
        <v>121</v>
      </c>
      <c r="C34">
        <v>1</v>
      </c>
      <c r="E34" s="77" t="s">
        <v>259</v>
      </c>
    </row>
    <row r="35" spans="2:5" ht="15" customHeight="1" x14ac:dyDescent="0.25">
      <c r="B35" t="s">
        <v>120</v>
      </c>
      <c r="C35">
        <v>10</v>
      </c>
    </row>
    <row r="37" spans="2:5" ht="15" customHeight="1" x14ac:dyDescent="0.25">
      <c r="B37" s="1" t="s">
        <v>387</v>
      </c>
    </row>
    <row r="38" spans="2:5" ht="60" x14ac:dyDescent="0.25">
      <c r="B38" s="13" t="s">
        <v>80</v>
      </c>
      <c r="C38">
        <v>2</v>
      </c>
      <c r="E38" s="77" t="s">
        <v>406</v>
      </c>
    </row>
    <row r="39" spans="2:5" x14ac:dyDescent="0.25">
      <c r="B39" s="13" t="s">
        <v>81</v>
      </c>
      <c r="C39">
        <v>1</v>
      </c>
      <c r="E39" s="77"/>
    </row>
    <row r="40" spans="2:5" x14ac:dyDescent="0.25">
      <c r="E40" s="77"/>
    </row>
    <row r="41" spans="2:5" ht="15" customHeight="1" x14ac:dyDescent="0.25">
      <c r="B41" s="1" t="s">
        <v>122</v>
      </c>
      <c r="C41">
        <f>Fire_DG_Wagons</f>
        <v>10</v>
      </c>
      <c r="E41" s="77" t="s">
        <v>262</v>
      </c>
    </row>
    <row r="43" spans="2:5" x14ac:dyDescent="0.25">
      <c r="B43" s="14" t="s">
        <v>113</v>
      </c>
      <c r="E43" s="77"/>
    </row>
    <row r="44" spans="2:5" ht="60" x14ac:dyDescent="0.25">
      <c r="B44" t="s">
        <v>80</v>
      </c>
      <c r="C44">
        <v>2</v>
      </c>
      <c r="E44" s="77" t="s">
        <v>420</v>
      </c>
    </row>
    <row r="45" spans="2:5" x14ac:dyDescent="0.25">
      <c r="B45" t="s">
        <v>81</v>
      </c>
      <c r="C45">
        <v>1</v>
      </c>
      <c r="E45" s="77"/>
    </row>
    <row r="46" spans="2:5" x14ac:dyDescent="0.25">
      <c r="D46" s="1"/>
      <c r="E46" s="77"/>
    </row>
    <row r="47" spans="2:5" x14ac:dyDescent="0.25">
      <c r="B47" s="14" t="s">
        <v>114</v>
      </c>
    </row>
    <row r="48" spans="2:5" ht="60" x14ac:dyDescent="0.25">
      <c r="B48" t="s">
        <v>80</v>
      </c>
      <c r="C48">
        <v>2</v>
      </c>
      <c r="D48" s="1"/>
      <c r="E48" s="77" t="s">
        <v>421</v>
      </c>
    </row>
    <row r="49" spans="2:5" x14ac:dyDescent="0.25">
      <c r="B49" t="s">
        <v>81</v>
      </c>
      <c r="C49">
        <v>1</v>
      </c>
      <c r="E49" s="77"/>
    </row>
    <row r="50" spans="2:5" x14ac:dyDescent="0.25">
      <c r="E50" s="77"/>
    </row>
    <row r="51" spans="2:5" x14ac:dyDescent="0.25">
      <c r="B51" s="14" t="s">
        <v>115</v>
      </c>
    </row>
    <row r="52" spans="2:5" x14ac:dyDescent="0.25">
      <c r="B52" t="s">
        <v>80</v>
      </c>
      <c r="C52">
        <v>2</v>
      </c>
      <c r="E52" t="s">
        <v>256</v>
      </c>
    </row>
    <row r="53" spans="2:5" x14ac:dyDescent="0.25">
      <c r="B53" t="s">
        <v>81</v>
      </c>
      <c r="C53">
        <v>1</v>
      </c>
    </row>
    <row r="55" spans="2:5" x14ac:dyDescent="0.25">
      <c r="B55" s="14" t="s">
        <v>116</v>
      </c>
      <c r="E55" t="s">
        <v>409</v>
      </c>
    </row>
    <row r="56" spans="2:5" x14ac:dyDescent="0.25">
      <c r="B56" t="s">
        <v>80</v>
      </c>
      <c r="C56">
        <v>2</v>
      </c>
    </row>
    <row r="57" spans="2:5" x14ac:dyDescent="0.25">
      <c r="B57" t="s">
        <v>81</v>
      </c>
      <c r="C57">
        <v>1</v>
      </c>
    </row>
    <row r="59" spans="2:5" x14ac:dyDescent="0.25">
      <c r="B59" t="s">
        <v>380</v>
      </c>
    </row>
    <row r="60" spans="2:5" x14ac:dyDescent="0.25">
      <c r="C60">
        <v>2</v>
      </c>
      <c r="E60" t="s">
        <v>409</v>
      </c>
    </row>
    <row r="61" spans="2:5" x14ac:dyDescent="0.25">
      <c r="C61">
        <v>1</v>
      </c>
    </row>
  </sheetData>
  <mergeCells count="3">
    <mergeCell ref="E15:E19"/>
    <mergeCell ref="E2:E6"/>
    <mergeCell ref="E7:E9"/>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4D045-7AB9-451C-B88B-4CC02946BC67}">
  <sheetPr>
    <tabColor theme="9" tint="0.39997558519241921"/>
  </sheetPr>
  <dimension ref="A1:C39"/>
  <sheetViews>
    <sheetView workbookViewId="0">
      <selection activeCell="H3" sqref="H3"/>
    </sheetView>
  </sheetViews>
  <sheetFormatPr defaultRowHeight="15" x14ac:dyDescent="0.25"/>
  <cols>
    <col min="1" max="1" width="59.140625" customWidth="1"/>
  </cols>
  <sheetData>
    <row r="1" spans="1:3" x14ac:dyDescent="0.25">
      <c r="A1" s="1" t="s">
        <v>210</v>
      </c>
    </row>
    <row r="3" spans="1:3" x14ac:dyDescent="0.25">
      <c r="A3" s="1" t="s">
        <v>109</v>
      </c>
    </row>
    <row r="4" spans="1:3" x14ac:dyDescent="0.25">
      <c r="A4" s="13" t="s">
        <v>122</v>
      </c>
      <c r="B4">
        <f>Fire_DG_Wagons</f>
        <v>10</v>
      </c>
    </row>
    <row r="5" spans="1:3" x14ac:dyDescent="0.25">
      <c r="A5" s="13" t="s">
        <v>149</v>
      </c>
      <c r="B5" cm="1">
        <f t="array" ref="B5">INDEX(Fire_Sustained,Fire!F3,2)</f>
        <v>1</v>
      </c>
    </row>
    <row r="6" spans="1:3" x14ac:dyDescent="0.25">
      <c r="A6" s="13" t="s">
        <v>147</v>
      </c>
      <c r="C6" cm="1">
        <f t="array" ref="C6">INDEX(Fire_impacts_DGs,Fire!F11,2)</f>
        <v>0.5</v>
      </c>
    </row>
    <row r="7" spans="1:3" x14ac:dyDescent="0.25">
      <c r="A7" s="13" t="s">
        <v>443</v>
      </c>
      <c r="C7" cm="1">
        <f t="array" ref="C7">INDEX(DG_Fire_Involvement,Fire!F7,2)</f>
        <v>0</v>
      </c>
    </row>
    <row r="8" spans="1:3" x14ac:dyDescent="0.25">
      <c r="A8" s="13" t="s">
        <v>444</v>
      </c>
      <c r="B8">
        <f>MAX(C6:C7)</f>
        <v>0.5</v>
      </c>
    </row>
    <row r="9" spans="1:3" x14ac:dyDescent="0.25">
      <c r="A9" t="s">
        <v>211</v>
      </c>
      <c r="B9">
        <f>1+B4/10</f>
        <v>2</v>
      </c>
    </row>
    <row r="10" spans="1:3" x14ac:dyDescent="0.25">
      <c r="A10" s="13" t="s">
        <v>86</v>
      </c>
      <c r="B10" cm="1">
        <f t="array" ref="B10">INDEX(Fire_passenger_line,Fire!F17,2)</f>
        <v>1.5</v>
      </c>
    </row>
    <row r="11" spans="1:3" x14ac:dyDescent="0.25">
      <c r="A11" s="13" t="s">
        <v>87</v>
      </c>
      <c r="B11" cm="1">
        <f t="array" ref="B11">INDEX(Fire_High_conseq,Fire!F21,2)</f>
        <v>10</v>
      </c>
    </row>
    <row r="12" spans="1:3" x14ac:dyDescent="0.25">
      <c r="A12" s="13" t="s">
        <v>119</v>
      </c>
      <c r="B12" cm="1">
        <f t="array" ref="B12">INDEX(Fire_Multi_DG,Fire!F25,2)</f>
        <v>1</v>
      </c>
    </row>
    <row r="13" spans="1:3" x14ac:dyDescent="0.25">
      <c r="A13" s="13" t="s">
        <v>82</v>
      </c>
      <c r="B13" cm="1">
        <f t="array" ref="B13">INDEX(Fire_DG_Stored,Fire!F51,2)</f>
        <v>10</v>
      </c>
    </row>
    <row r="14" spans="1:3" x14ac:dyDescent="0.25">
      <c r="A14" s="13" t="s">
        <v>388</v>
      </c>
      <c r="B14" cm="1">
        <f t="array" ref="B14">INDEX(FIre_tops_error,Fire!F29,2)</f>
        <v>1</v>
      </c>
    </row>
    <row r="15" spans="1:3" x14ac:dyDescent="0.25">
      <c r="A15" s="13" t="s">
        <v>232</v>
      </c>
      <c r="B15">
        <f>IF(SUM(Fire!F33:F34,Fire!F37:F39)/COUNT(Fire!F33,Fire!F34,Fire!F37,Fire!F38,Fire!F39)&lt;2,1,0)</f>
        <v>1</v>
      </c>
    </row>
    <row r="16" spans="1:3" x14ac:dyDescent="0.25">
      <c r="A16" s="13"/>
    </row>
    <row r="18" spans="1:2" x14ac:dyDescent="0.25">
      <c r="A18" s="1" t="s">
        <v>204</v>
      </c>
    </row>
    <row r="19" spans="1:2" x14ac:dyDescent="0.25">
      <c r="A19" t="s">
        <v>201</v>
      </c>
      <c r="B19" cm="1">
        <f t="array" ref="B19">IF(B15=1,INDEX(fire_Conseq_elec,Fire!F59,2),1)</f>
        <v>2</v>
      </c>
    </row>
    <row r="20" spans="1:2" x14ac:dyDescent="0.25">
      <c r="A20" s="14" t="s">
        <v>202</v>
      </c>
      <c r="B20" cm="1">
        <f t="array" ref="B20">INDEX(fire_conseq_BU,Fire!F61,2)</f>
        <v>2</v>
      </c>
    </row>
    <row r="21" spans="1:2" x14ac:dyDescent="0.25">
      <c r="A21" s="14" t="s">
        <v>203</v>
      </c>
      <c r="B21" cm="1">
        <f t="array" ref="B21">INDEX(Fire_Conseq_Tunnel,Fire!F63,2)</f>
        <v>1</v>
      </c>
    </row>
    <row r="22" spans="1:2" x14ac:dyDescent="0.25">
      <c r="A22" s="14" t="s">
        <v>206</v>
      </c>
      <c r="B22" cm="1">
        <f t="array" ref="B22">INDEX(Fire_Conseq_Bridge,Fire!F65,2)</f>
        <v>1</v>
      </c>
    </row>
    <row r="23" spans="1:2" x14ac:dyDescent="0.25">
      <c r="A23" s="14" t="s">
        <v>452</v>
      </c>
      <c r="B23" cm="1">
        <f t="array" ref="B23">INDEX(Fire_conseq_water,Fire!F67,2)</f>
        <v>1</v>
      </c>
    </row>
    <row r="24" spans="1:2" x14ac:dyDescent="0.25">
      <c r="A24" s="18" t="s">
        <v>212</v>
      </c>
      <c r="B24" s="1">
        <v>1</v>
      </c>
    </row>
    <row r="26" spans="1:2" x14ac:dyDescent="0.25">
      <c r="A26" s="14" t="s">
        <v>297</v>
      </c>
      <c r="B26">
        <f>PRODUCT(B5:B14,B19:B24)</f>
        <v>600</v>
      </c>
    </row>
    <row r="27" spans="1:2" x14ac:dyDescent="0.25">
      <c r="A27" s="13"/>
    </row>
    <row r="28" spans="1:2" x14ac:dyDescent="0.25">
      <c r="A28" s="13" t="s">
        <v>298</v>
      </c>
      <c r="B28" s="15">
        <f>IF(B26=0,0,LOG(B26*calib,2))</f>
        <v>23.093109404391484</v>
      </c>
    </row>
    <row r="29" spans="1:2" x14ac:dyDescent="0.25">
      <c r="A29" s="13"/>
    </row>
    <row r="31" spans="1:2" x14ac:dyDescent="0.25">
      <c r="A31" s="13"/>
    </row>
    <row r="32" spans="1:2" x14ac:dyDescent="0.25">
      <c r="A32" s="13"/>
    </row>
    <row r="33" spans="1:1" x14ac:dyDescent="0.25">
      <c r="A33" s="13"/>
    </row>
    <row r="35" spans="1:1" x14ac:dyDescent="0.25">
      <c r="A35" s="13"/>
    </row>
    <row r="36" spans="1:1" x14ac:dyDescent="0.25">
      <c r="A36" s="13"/>
    </row>
    <row r="37" spans="1:1" x14ac:dyDescent="0.25">
      <c r="A37" s="13"/>
    </row>
    <row r="39" spans="1:1" x14ac:dyDescent="0.25">
      <c r="A39" s="13"/>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D2231-0BF6-4FC5-8AC8-33913ADD3CBB}">
  <sheetPr>
    <tabColor theme="9" tint="0.39997558519241921"/>
  </sheetPr>
  <dimension ref="B2:F54"/>
  <sheetViews>
    <sheetView topLeftCell="A60" workbookViewId="0">
      <selection activeCell="H3" sqref="H3"/>
    </sheetView>
  </sheetViews>
  <sheetFormatPr defaultRowHeight="15" x14ac:dyDescent="0.25"/>
  <cols>
    <col min="2" max="2" width="28.7109375" customWidth="1"/>
    <col min="6" max="6" width="148.7109375" customWidth="1"/>
  </cols>
  <sheetData>
    <row r="2" spans="2:6" x14ac:dyDescent="0.25">
      <c r="B2" s="1" t="s">
        <v>243</v>
      </c>
      <c r="F2" s="1" t="s">
        <v>255</v>
      </c>
    </row>
    <row r="3" spans="2:6" x14ac:dyDescent="0.25">
      <c r="B3" s="7" t="s">
        <v>84</v>
      </c>
      <c r="C3">
        <v>0.5</v>
      </c>
      <c r="F3" s="122" t="s">
        <v>422</v>
      </c>
    </row>
    <row r="4" spans="2:6" x14ac:dyDescent="0.25">
      <c r="B4" s="7" t="s">
        <v>85</v>
      </c>
      <c r="C4">
        <v>0.05</v>
      </c>
      <c r="F4" s="122"/>
    </row>
    <row r="5" spans="2:6" x14ac:dyDescent="0.25">
      <c r="B5" s="7" t="s">
        <v>89</v>
      </c>
      <c r="C5">
        <v>1E-3</v>
      </c>
      <c r="F5" s="122"/>
    </row>
    <row r="6" spans="2:6" x14ac:dyDescent="0.25">
      <c r="B6" s="7" t="s">
        <v>83</v>
      </c>
      <c r="C6">
        <v>0</v>
      </c>
      <c r="F6" s="122"/>
    </row>
    <row r="7" spans="2:6" x14ac:dyDescent="0.25">
      <c r="B7" s="7"/>
      <c r="F7" s="123"/>
    </row>
    <row r="8" spans="2:6" x14ac:dyDescent="0.25">
      <c r="B8" s="1" t="s">
        <v>138</v>
      </c>
    </row>
    <row r="9" spans="2:6" x14ac:dyDescent="0.25">
      <c r="B9" s="7" t="s">
        <v>142</v>
      </c>
      <c r="C9">
        <v>1</v>
      </c>
      <c r="F9" s="122" t="s">
        <v>423</v>
      </c>
    </row>
    <row r="10" spans="2:6" x14ac:dyDescent="0.25">
      <c r="B10" s="7" t="s">
        <v>140</v>
      </c>
      <c r="C10">
        <v>0.1</v>
      </c>
      <c r="F10" s="122"/>
    </row>
    <row r="11" spans="2:6" x14ac:dyDescent="0.25">
      <c r="B11" s="7" t="s">
        <v>141</v>
      </c>
      <c r="C11">
        <v>0.03</v>
      </c>
      <c r="F11" s="122"/>
    </row>
    <row r="12" spans="2:6" x14ac:dyDescent="0.25">
      <c r="B12" s="7" t="s">
        <v>139</v>
      </c>
      <c r="C12">
        <v>0.01</v>
      </c>
      <c r="F12" s="122"/>
    </row>
    <row r="13" spans="2:6" x14ac:dyDescent="0.25">
      <c r="B13" s="7"/>
    </row>
    <row r="14" spans="2:6" ht="39.75" customHeight="1" x14ac:dyDescent="0.25">
      <c r="B14" s="1" t="s">
        <v>86</v>
      </c>
      <c r="F14" s="122" t="s">
        <v>413</v>
      </c>
    </row>
    <row r="15" spans="2:6" ht="39.75" customHeight="1" x14ac:dyDescent="0.25">
      <c r="B15" t="s">
        <v>80</v>
      </c>
      <c r="C15">
        <v>1.5</v>
      </c>
      <c r="F15" s="122"/>
    </row>
    <row r="16" spans="2:6" ht="39.75" customHeight="1" x14ac:dyDescent="0.25">
      <c r="B16" t="s">
        <v>81</v>
      </c>
      <c r="C16">
        <v>1</v>
      </c>
      <c r="F16" s="122"/>
    </row>
    <row r="18" spans="2:6" x14ac:dyDescent="0.25">
      <c r="B18" s="1" t="s">
        <v>87</v>
      </c>
      <c r="F18" s="122" t="s">
        <v>260</v>
      </c>
    </row>
    <row r="19" spans="2:6" x14ac:dyDescent="0.25">
      <c r="B19" t="s">
        <v>80</v>
      </c>
      <c r="C19">
        <v>10</v>
      </c>
      <c r="F19" s="122"/>
    </row>
    <row r="20" spans="2:6" x14ac:dyDescent="0.25">
      <c r="B20" t="s">
        <v>81</v>
      </c>
      <c r="C20">
        <v>1</v>
      </c>
      <c r="F20" s="122"/>
    </row>
    <row r="22" spans="2:6" x14ac:dyDescent="0.25">
      <c r="B22" s="1" t="s">
        <v>119</v>
      </c>
      <c r="F22" s="121" t="s">
        <v>261</v>
      </c>
    </row>
    <row r="23" spans="2:6" x14ac:dyDescent="0.25">
      <c r="B23" s="12" t="s">
        <v>80</v>
      </c>
      <c r="C23">
        <v>1.5</v>
      </c>
      <c r="F23" s="121"/>
    </row>
    <row r="24" spans="2:6" x14ac:dyDescent="0.25">
      <c r="B24" s="13" t="s">
        <v>81</v>
      </c>
      <c r="C24">
        <v>1</v>
      </c>
      <c r="F24" s="121"/>
    </row>
    <row r="25" spans="2:6" x14ac:dyDescent="0.25">
      <c r="B25" s="13"/>
    </row>
    <row r="26" spans="2:6" x14ac:dyDescent="0.25">
      <c r="B26" s="1" t="s">
        <v>82</v>
      </c>
      <c r="F26" s="121" t="s">
        <v>259</v>
      </c>
    </row>
    <row r="27" spans="2:6" x14ac:dyDescent="0.25">
      <c r="B27" t="s">
        <v>121</v>
      </c>
      <c r="C27">
        <v>1</v>
      </c>
      <c r="F27" s="121"/>
    </row>
    <row r="28" spans="2:6" ht="33.75" customHeight="1" x14ac:dyDescent="0.25">
      <c r="B28" t="s">
        <v>120</v>
      </c>
      <c r="C28">
        <v>10</v>
      </c>
      <c r="F28" s="121"/>
    </row>
    <row r="29" spans="2:6" x14ac:dyDescent="0.25">
      <c r="F29" s="77"/>
    </row>
    <row r="30" spans="2:6" x14ac:dyDescent="0.25">
      <c r="B30" s="1" t="s">
        <v>122</v>
      </c>
      <c r="C30">
        <v>20</v>
      </c>
      <c r="F30" s="121" t="s">
        <v>262</v>
      </c>
    </row>
    <row r="31" spans="2:6" ht="27.75" customHeight="1" x14ac:dyDescent="0.25">
      <c r="B31" s="1"/>
      <c r="F31" s="121"/>
    </row>
    <row r="32" spans="2:6" x14ac:dyDescent="0.25">
      <c r="B32" s="81" t="s">
        <v>387</v>
      </c>
      <c r="F32" s="77"/>
    </row>
    <row r="33" spans="2:6" ht="60" x14ac:dyDescent="0.25">
      <c r="B33" s="13" t="s">
        <v>80</v>
      </c>
      <c r="C33">
        <v>2</v>
      </c>
      <c r="F33" s="77" t="s">
        <v>415</v>
      </c>
    </row>
    <row r="34" spans="2:6" x14ac:dyDescent="0.25">
      <c r="B34" s="13" t="s">
        <v>81</v>
      </c>
      <c r="C34">
        <v>1</v>
      </c>
      <c r="F34" s="77"/>
    </row>
    <row r="35" spans="2:6" x14ac:dyDescent="0.25">
      <c r="F35" s="77"/>
    </row>
    <row r="36" spans="2:6" x14ac:dyDescent="0.25">
      <c r="B36" s="14" t="s">
        <v>113</v>
      </c>
    </row>
    <row r="37" spans="2:6" x14ac:dyDescent="0.25">
      <c r="B37" t="s">
        <v>80</v>
      </c>
      <c r="C37">
        <v>1.5</v>
      </c>
      <c r="F37" s="121" t="s">
        <v>265</v>
      </c>
    </row>
    <row r="38" spans="2:6" ht="37.5" customHeight="1" x14ac:dyDescent="0.25">
      <c r="B38" t="s">
        <v>81</v>
      </c>
      <c r="C38">
        <v>1</v>
      </c>
      <c r="F38" s="121"/>
    </row>
    <row r="39" spans="2:6" ht="26.25" customHeight="1" x14ac:dyDescent="0.25">
      <c r="D39" s="1"/>
      <c r="F39" s="121"/>
    </row>
    <row r="40" spans="2:6" x14ac:dyDescent="0.25">
      <c r="B40" s="14" t="s">
        <v>114</v>
      </c>
    </row>
    <row r="41" spans="2:6" x14ac:dyDescent="0.25">
      <c r="B41" t="s">
        <v>80</v>
      </c>
      <c r="C41">
        <v>1.2</v>
      </c>
      <c r="D41" s="1"/>
      <c r="F41" s="121" t="s">
        <v>410</v>
      </c>
    </row>
    <row r="42" spans="2:6" ht="45.75" customHeight="1" x14ac:dyDescent="0.25">
      <c r="B42" t="s">
        <v>81</v>
      </c>
      <c r="C42">
        <v>1</v>
      </c>
      <c r="F42" s="121"/>
    </row>
    <row r="43" spans="2:6" x14ac:dyDescent="0.25">
      <c r="F43" s="121"/>
    </row>
    <row r="44" spans="2:6" x14ac:dyDescent="0.25">
      <c r="B44" s="14" t="s">
        <v>115</v>
      </c>
    </row>
    <row r="45" spans="2:6" x14ac:dyDescent="0.25">
      <c r="B45" t="s">
        <v>80</v>
      </c>
      <c r="C45">
        <v>1.2</v>
      </c>
      <c r="F45" t="s">
        <v>256</v>
      </c>
    </row>
    <row r="46" spans="2:6" x14ac:dyDescent="0.25">
      <c r="B46" t="s">
        <v>81</v>
      </c>
      <c r="C46">
        <v>1</v>
      </c>
    </row>
    <row r="48" spans="2:6" x14ac:dyDescent="0.25">
      <c r="B48" s="14" t="s">
        <v>116</v>
      </c>
      <c r="F48" t="s">
        <v>257</v>
      </c>
    </row>
    <row r="49" spans="2:6" x14ac:dyDescent="0.25">
      <c r="B49" t="s">
        <v>80</v>
      </c>
      <c r="C49">
        <v>1.05</v>
      </c>
    </row>
    <row r="50" spans="2:6" x14ac:dyDescent="0.25">
      <c r="B50" t="s">
        <v>81</v>
      </c>
      <c r="C50">
        <v>1</v>
      </c>
    </row>
    <row r="52" spans="2:6" x14ac:dyDescent="0.25">
      <c r="B52" t="s">
        <v>390</v>
      </c>
      <c r="F52" t="s">
        <v>381</v>
      </c>
    </row>
    <row r="53" spans="2:6" x14ac:dyDescent="0.25">
      <c r="B53" t="s">
        <v>80</v>
      </c>
      <c r="C53">
        <v>1.2</v>
      </c>
    </row>
    <row r="54" spans="2:6" x14ac:dyDescent="0.25">
      <c r="B54" t="s">
        <v>81</v>
      </c>
      <c r="C54">
        <v>1</v>
      </c>
    </row>
  </sheetData>
  <sortState xmlns:xlrd2="http://schemas.microsoft.com/office/spreadsheetml/2017/richdata2" ref="B9:C12">
    <sortCondition descending="1" ref="C9:C12"/>
  </sortState>
  <mergeCells count="9">
    <mergeCell ref="F30:F31"/>
    <mergeCell ref="F37:F39"/>
    <mergeCell ref="F41:F43"/>
    <mergeCell ref="F3:F7"/>
    <mergeCell ref="F9:F12"/>
    <mergeCell ref="F14:F16"/>
    <mergeCell ref="F18:F20"/>
    <mergeCell ref="F22:F24"/>
    <mergeCell ref="F26:F28"/>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7591F-FC33-44AF-BA35-668378192543}">
  <sheetPr>
    <tabColor theme="9" tint="0.39997558519241921"/>
  </sheetPr>
  <dimension ref="A1:B35"/>
  <sheetViews>
    <sheetView workbookViewId="0">
      <selection activeCell="H3" sqref="H3"/>
    </sheetView>
  </sheetViews>
  <sheetFormatPr defaultRowHeight="15" x14ac:dyDescent="0.25"/>
  <cols>
    <col min="1" max="1" width="59.140625" customWidth="1"/>
  </cols>
  <sheetData>
    <row r="1" spans="1:2" x14ac:dyDescent="0.25">
      <c r="A1" s="1" t="s">
        <v>210</v>
      </c>
    </row>
    <row r="3" spans="1:2" x14ac:dyDescent="0.25">
      <c r="A3" s="1" t="s">
        <v>143</v>
      </c>
    </row>
    <row r="4" spans="1:2" x14ac:dyDescent="0.25">
      <c r="A4" s="13" t="s">
        <v>122</v>
      </c>
      <c r="B4">
        <f>LOCP_DG_Wagons</f>
        <v>20</v>
      </c>
    </row>
    <row r="5" spans="1:2" x14ac:dyDescent="0.25">
      <c r="A5" t="s">
        <v>211</v>
      </c>
      <c r="B5">
        <f>1+B4/10</f>
        <v>3</v>
      </c>
    </row>
    <row r="6" spans="1:2" x14ac:dyDescent="0.25">
      <c r="A6" s="13" t="s">
        <v>279</v>
      </c>
      <c r="B6" cm="1">
        <f t="array" ref="B6">INDEX(PLOC_Likelihood, 'Loss of Cont Precursor'!F3,2)</f>
        <v>0.5</v>
      </c>
    </row>
    <row r="7" spans="1:2" x14ac:dyDescent="0.25">
      <c r="A7" s="13" t="s">
        <v>240</v>
      </c>
      <c r="B7" cm="1">
        <f t="array" ref="B7">INDEX(PLOS_Scale,'Loss of Cont Precursor'!F9,2)</f>
        <v>1</v>
      </c>
    </row>
    <row r="8" spans="1:2" x14ac:dyDescent="0.25">
      <c r="A8" s="13" t="s">
        <v>86</v>
      </c>
      <c r="B8" cm="1">
        <f t="array" ref="B8">INDEX('Loss Cont Prec Multi'!passenger_line,'Loss of Cont Precursor'!F15,2)</f>
        <v>1.5</v>
      </c>
    </row>
    <row r="9" spans="1:2" x14ac:dyDescent="0.25">
      <c r="A9" s="13" t="s">
        <v>87</v>
      </c>
      <c r="B9" cm="1">
        <f t="array" ref="B9">INDEX(PLOC_High_conseq,'Loss of Cont Precursor'!F19,2)</f>
        <v>10</v>
      </c>
    </row>
    <row r="10" spans="1:2" x14ac:dyDescent="0.25">
      <c r="A10" s="13" t="s">
        <v>119</v>
      </c>
      <c r="B10" cm="1">
        <f t="array" ref="B10">INDEX(PLOC_Multi_DG,'Loss of Cont Precursor'!F23,2)</f>
        <v>1.5</v>
      </c>
    </row>
    <row r="11" spans="1:2" x14ac:dyDescent="0.25">
      <c r="A11" s="13" t="s">
        <v>82</v>
      </c>
      <c r="B11" cm="1">
        <f t="array" ref="B11">INDEX(PLOC_DG_Stored,'Loss of Cont Precursor'!F27,2)</f>
        <v>10</v>
      </c>
    </row>
    <row r="13" spans="1:2" x14ac:dyDescent="0.25">
      <c r="A13" s="1" t="s">
        <v>204</v>
      </c>
    </row>
    <row r="14" spans="1:2" x14ac:dyDescent="0.25">
      <c r="A14" t="s">
        <v>201</v>
      </c>
      <c r="B14" cm="1">
        <f t="array" ref="B14">INDEX(LOCP_Conseq_elec,'Loss of Cont Precursor'!F38,2)</f>
        <v>1.5</v>
      </c>
    </row>
    <row r="15" spans="1:2" x14ac:dyDescent="0.25">
      <c r="A15" s="14" t="s">
        <v>202</v>
      </c>
      <c r="B15" cm="1">
        <f t="array" ref="B15">INDEX(LOCP_conseq_BU,'Loss of Cont Precursor'!F40,2)</f>
        <v>1.2</v>
      </c>
    </row>
    <row r="16" spans="1:2" x14ac:dyDescent="0.25">
      <c r="A16" s="14" t="s">
        <v>203</v>
      </c>
      <c r="B16" cm="1">
        <f t="array" ref="B16">INDEX(LOCP_Conseq_Tunnel,'Loss of Cont Precursor'!F42,2)</f>
        <v>1.2</v>
      </c>
    </row>
    <row r="17" spans="1:2" x14ac:dyDescent="0.25">
      <c r="A17" s="14" t="s">
        <v>206</v>
      </c>
      <c r="B17" cm="1">
        <f t="array" ref="B17">INDEX(LOCP_Conseq_Bridge,'Loss of Cont Precursor'!F44,2)</f>
        <v>1.05</v>
      </c>
    </row>
    <row r="18" spans="1:2" x14ac:dyDescent="0.25">
      <c r="A18" s="14" t="s">
        <v>386</v>
      </c>
      <c r="B18" cm="1">
        <f t="array" ref="B18">INDEX(PLOC_conseq_water,'Loss of Cont Precursor'!F46,2)</f>
        <v>1.2</v>
      </c>
    </row>
    <row r="20" spans="1:2" x14ac:dyDescent="0.25">
      <c r="A20" s="18" t="s">
        <v>212</v>
      </c>
      <c r="B20" s="1">
        <v>1</v>
      </c>
    </row>
    <row r="22" spans="1:2" x14ac:dyDescent="0.25">
      <c r="A22" s="14" t="s">
        <v>297</v>
      </c>
      <c r="B22">
        <f>PRODUCT(B5:B20)</f>
        <v>918.54000000000008</v>
      </c>
    </row>
    <row r="23" spans="1:2" x14ac:dyDescent="0.25">
      <c r="A23" s="13"/>
    </row>
    <row r="24" spans="1:2" x14ac:dyDescent="0.25">
      <c r="A24" s="13" t="s">
        <v>298</v>
      </c>
      <c r="B24" s="15">
        <f>IF(B22=0,0,LOG(B22*calib,2))</f>
        <v>23.70748945194773</v>
      </c>
    </row>
    <row r="25" spans="1:2" x14ac:dyDescent="0.25">
      <c r="A25" s="13"/>
    </row>
    <row r="27" spans="1:2" x14ac:dyDescent="0.25">
      <c r="A27" s="13"/>
    </row>
    <row r="28" spans="1:2" x14ac:dyDescent="0.25">
      <c r="A28" s="13"/>
    </row>
    <row r="29" spans="1:2" x14ac:dyDescent="0.25">
      <c r="A29" s="13"/>
    </row>
    <row r="31" spans="1:2" x14ac:dyDescent="0.25">
      <c r="A31" s="13"/>
    </row>
    <row r="32" spans="1:2" x14ac:dyDescent="0.25">
      <c r="A32" s="13"/>
    </row>
    <row r="33" spans="1:1" x14ac:dyDescent="0.25">
      <c r="A33" s="13"/>
    </row>
    <row r="35" spans="1:1" x14ac:dyDescent="0.25">
      <c r="A35" s="13"/>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58C6F-A136-401F-8EB6-E6A31C4F0AA2}">
  <sheetPr>
    <tabColor theme="9" tint="0.39997558519241921"/>
  </sheetPr>
  <dimension ref="A1:E50"/>
  <sheetViews>
    <sheetView topLeftCell="A29" workbookViewId="0">
      <selection activeCell="H3" sqref="H3"/>
    </sheetView>
  </sheetViews>
  <sheetFormatPr defaultRowHeight="15" x14ac:dyDescent="0.25"/>
  <cols>
    <col min="2" max="2" width="58.28515625" customWidth="1"/>
    <col min="5" max="5" width="107.140625" customWidth="1"/>
  </cols>
  <sheetData>
    <row r="1" spans="1:5" x14ac:dyDescent="0.25">
      <c r="A1" s="1" t="s">
        <v>245</v>
      </c>
    </row>
    <row r="2" spans="1:5" x14ac:dyDescent="0.25">
      <c r="B2" s="7"/>
    </row>
    <row r="3" spans="1:5" x14ac:dyDescent="0.25">
      <c r="B3" s="1" t="s">
        <v>138</v>
      </c>
      <c r="E3" s="1" t="s">
        <v>255</v>
      </c>
    </row>
    <row r="4" spans="1:5" x14ac:dyDescent="0.25">
      <c r="B4" s="7" t="s">
        <v>142</v>
      </c>
      <c r="C4">
        <v>1</v>
      </c>
      <c r="E4" s="122" t="s">
        <v>424</v>
      </c>
    </row>
    <row r="5" spans="1:5" x14ac:dyDescent="0.25">
      <c r="B5" s="7" t="s">
        <v>140</v>
      </c>
      <c r="C5">
        <v>0.1</v>
      </c>
      <c r="E5" s="122"/>
    </row>
    <row r="6" spans="1:5" x14ac:dyDescent="0.25">
      <c r="B6" s="7" t="s">
        <v>141</v>
      </c>
      <c r="C6">
        <v>0.03</v>
      </c>
      <c r="E6" s="122"/>
    </row>
    <row r="7" spans="1:5" x14ac:dyDescent="0.25">
      <c r="B7" s="7" t="s">
        <v>281</v>
      </c>
      <c r="C7">
        <v>0.01</v>
      </c>
      <c r="E7" s="122"/>
    </row>
    <row r="8" spans="1:5" x14ac:dyDescent="0.25">
      <c r="B8" s="7"/>
    </row>
    <row r="9" spans="1:5" ht="53.25" customHeight="1" x14ac:dyDescent="0.25">
      <c r="B9" s="49" t="s">
        <v>86</v>
      </c>
      <c r="C9" s="80"/>
      <c r="D9" s="50"/>
      <c r="E9" s="121" t="s">
        <v>413</v>
      </c>
    </row>
    <row r="10" spans="1:5" ht="53.25" customHeight="1" x14ac:dyDescent="0.25">
      <c r="B10" s="50" t="s">
        <v>80</v>
      </c>
      <c r="C10" s="80">
        <v>1.5</v>
      </c>
      <c r="D10" s="50"/>
      <c r="E10" s="121"/>
    </row>
    <row r="11" spans="1:5" ht="53.25" customHeight="1" x14ac:dyDescent="0.25">
      <c r="B11" s="50" t="s">
        <v>81</v>
      </c>
      <c r="C11" s="80">
        <v>1</v>
      </c>
      <c r="D11" s="50"/>
      <c r="E11" s="121"/>
    </row>
    <row r="13" spans="1:5" ht="33" customHeight="1" x14ac:dyDescent="0.25">
      <c r="B13" s="91" t="s">
        <v>87</v>
      </c>
      <c r="C13" s="79"/>
      <c r="D13" s="79"/>
      <c r="E13" s="121" t="s">
        <v>260</v>
      </c>
    </row>
    <row r="14" spans="1:5" ht="33" customHeight="1" x14ac:dyDescent="0.25">
      <c r="B14" s="79" t="s">
        <v>80</v>
      </c>
      <c r="C14" s="79">
        <v>10</v>
      </c>
      <c r="D14" s="79"/>
      <c r="E14" s="121"/>
    </row>
    <row r="15" spans="1:5" ht="33" customHeight="1" x14ac:dyDescent="0.25">
      <c r="B15" s="79" t="s">
        <v>81</v>
      </c>
      <c r="C15" s="79">
        <v>1</v>
      </c>
      <c r="D15" s="79"/>
      <c r="E15" s="121"/>
    </row>
    <row r="16" spans="1:5" ht="31.5" customHeight="1" x14ac:dyDescent="0.25">
      <c r="E16" s="78"/>
    </row>
    <row r="17" spans="2:5" x14ac:dyDescent="0.25">
      <c r="B17" s="1" t="s">
        <v>119</v>
      </c>
      <c r="E17" s="121" t="s">
        <v>261</v>
      </c>
    </row>
    <row r="18" spans="2:5" x14ac:dyDescent="0.25">
      <c r="B18" s="12" t="s">
        <v>80</v>
      </c>
      <c r="C18">
        <v>1.5</v>
      </c>
      <c r="E18" s="121"/>
    </row>
    <row r="19" spans="2:5" x14ac:dyDescent="0.25">
      <c r="B19" s="13" t="s">
        <v>81</v>
      </c>
      <c r="C19">
        <v>1</v>
      </c>
      <c r="E19" s="121"/>
    </row>
    <row r="20" spans="2:5" x14ac:dyDescent="0.25">
      <c r="B20" s="13"/>
    </row>
    <row r="21" spans="2:5" ht="26.25" customHeight="1" x14ac:dyDescent="0.25">
      <c r="B21" s="49" t="s">
        <v>82</v>
      </c>
      <c r="C21" s="80"/>
      <c r="E21" s="121" t="s">
        <v>259</v>
      </c>
    </row>
    <row r="22" spans="2:5" ht="26.25" customHeight="1" x14ac:dyDescent="0.25">
      <c r="B22" s="50" t="s">
        <v>121</v>
      </c>
      <c r="C22" s="80">
        <v>1</v>
      </c>
      <c r="E22" s="121"/>
    </row>
    <row r="23" spans="2:5" ht="26.25" customHeight="1" x14ac:dyDescent="0.25">
      <c r="B23" s="50" t="s">
        <v>120</v>
      </c>
      <c r="C23" s="80">
        <v>10</v>
      </c>
      <c r="E23" s="121"/>
    </row>
    <row r="25" spans="2:5" ht="39.75" customHeight="1" x14ac:dyDescent="0.25">
      <c r="B25" s="1" t="s">
        <v>122</v>
      </c>
      <c r="C25">
        <v>20</v>
      </c>
      <c r="E25" s="121" t="s">
        <v>262</v>
      </c>
    </row>
    <row r="26" spans="2:5" ht="39.75" customHeight="1" x14ac:dyDescent="0.25">
      <c r="B26" s="1"/>
      <c r="E26" s="121"/>
    </row>
    <row r="27" spans="2:5" x14ac:dyDescent="0.25">
      <c r="B27" s="1" t="s">
        <v>377</v>
      </c>
    </row>
    <row r="28" spans="2:5" ht="75" x14ac:dyDescent="0.25">
      <c r="B28" s="13" t="s">
        <v>80</v>
      </c>
      <c r="C28">
        <v>2</v>
      </c>
      <c r="E28" s="77" t="s">
        <v>415</v>
      </c>
    </row>
    <row r="29" spans="2:5" x14ac:dyDescent="0.25">
      <c r="B29" s="13" t="s">
        <v>81</v>
      </c>
      <c r="C29">
        <v>1</v>
      </c>
    </row>
    <row r="30" spans="2:5" x14ac:dyDescent="0.25">
      <c r="B30" s="1"/>
    </row>
    <row r="31" spans="2:5" x14ac:dyDescent="0.25">
      <c r="B31" s="10"/>
    </row>
    <row r="32" spans="2:5" ht="27.75" customHeight="1" x14ac:dyDescent="0.25">
      <c r="B32" s="14" t="s">
        <v>113</v>
      </c>
      <c r="E32" s="121" t="s">
        <v>425</v>
      </c>
    </row>
    <row r="33" spans="2:5" ht="27.75" customHeight="1" x14ac:dyDescent="0.25">
      <c r="B33" t="s">
        <v>80</v>
      </c>
      <c r="C33">
        <v>2</v>
      </c>
      <c r="E33" s="121"/>
    </row>
    <row r="34" spans="2:5" ht="27.75" customHeight="1" x14ac:dyDescent="0.25">
      <c r="B34" t="s">
        <v>81</v>
      </c>
      <c r="C34">
        <v>1</v>
      </c>
      <c r="E34" s="121"/>
    </row>
    <row r="35" spans="2:5" x14ac:dyDescent="0.25">
      <c r="D35" s="1"/>
    </row>
    <row r="36" spans="2:5" x14ac:dyDescent="0.25">
      <c r="B36" s="14" t="s">
        <v>114</v>
      </c>
      <c r="E36" s="121" t="s">
        <v>408</v>
      </c>
    </row>
    <row r="37" spans="2:5" x14ac:dyDescent="0.25">
      <c r="B37" t="s">
        <v>80</v>
      </c>
      <c r="C37">
        <v>2</v>
      </c>
      <c r="D37" s="1"/>
      <c r="E37" s="121"/>
    </row>
    <row r="38" spans="2:5" x14ac:dyDescent="0.25">
      <c r="B38" t="s">
        <v>81</v>
      </c>
      <c r="C38">
        <v>1</v>
      </c>
      <c r="E38" s="121"/>
    </row>
    <row r="40" spans="2:5" x14ac:dyDescent="0.25">
      <c r="B40" s="14" t="s">
        <v>115</v>
      </c>
    </row>
    <row r="41" spans="2:5" x14ac:dyDescent="0.25">
      <c r="B41" t="s">
        <v>80</v>
      </c>
      <c r="C41">
        <v>2</v>
      </c>
      <c r="E41" t="s">
        <v>256</v>
      </c>
    </row>
    <row r="42" spans="2:5" x14ac:dyDescent="0.25">
      <c r="B42" t="s">
        <v>81</v>
      </c>
      <c r="C42">
        <v>1</v>
      </c>
    </row>
    <row r="44" spans="2:5" x14ac:dyDescent="0.25">
      <c r="B44" s="14" t="s">
        <v>116</v>
      </c>
      <c r="E44" t="s">
        <v>409</v>
      </c>
    </row>
    <row r="45" spans="2:5" x14ac:dyDescent="0.25">
      <c r="B45" t="s">
        <v>80</v>
      </c>
      <c r="C45">
        <v>2</v>
      </c>
    </row>
    <row r="46" spans="2:5" x14ac:dyDescent="0.25">
      <c r="B46" t="s">
        <v>81</v>
      </c>
      <c r="C46">
        <v>1</v>
      </c>
    </row>
    <row r="48" spans="2:5" x14ac:dyDescent="0.25">
      <c r="B48" s="14" t="s">
        <v>389</v>
      </c>
      <c r="E48" t="s">
        <v>381</v>
      </c>
    </row>
    <row r="49" spans="2:3" x14ac:dyDescent="0.25">
      <c r="B49" t="s">
        <v>80</v>
      </c>
      <c r="C49">
        <v>2</v>
      </c>
    </row>
    <row r="50" spans="2:3" x14ac:dyDescent="0.25">
      <c r="B50" t="s">
        <v>81</v>
      </c>
      <c r="C50">
        <v>1</v>
      </c>
    </row>
  </sheetData>
  <sortState xmlns:xlrd2="http://schemas.microsoft.com/office/spreadsheetml/2017/richdata2" ref="C4:C7">
    <sortCondition descending="1" ref="C4"/>
  </sortState>
  <mergeCells count="8">
    <mergeCell ref="E25:E26"/>
    <mergeCell ref="E32:E34"/>
    <mergeCell ref="E36:E38"/>
    <mergeCell ref="E4:E7"/>
    <mergeCell ref="E9:E11"/>
    <mergeCell ref="E13:E15"/>
    <mergeCell ref="E17:E19"/>
    <mergeCell ref="E21:E23"/>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571DD-72B2-4E73-83D6-8B3F8ED38C90}">
  <sheetPr>
    <tabColor theme="9" tint="0.39997558519241921"/>
  </sheetPr>
  <dimension ref="A1:B35"/>
  <sheetViews>
    <sheetView topLeftCell="A4" workbookViewId="0">
      <selection activeCell="H3" sqref="H3"/>
    </sheetView>
  </sheetViews>
  <sheetFormatPr defaultRowHeight="15" x14ac:dyDescent="0.25"/>
  <cols>
    <col min="1" max="1" width="59.140625" customWidth="1"/>
  </cols>
  <sheetData>
    <row r="1" spans="1:2" x14ac:dyDescent="0.25">
      <c r="A1" s="1" t="s">
        <v>210</v>
      </c>
    </row>
    <row r="3" spans="1:2" x14ac:dyDescent="0.25">
      <c r="A3" s="1" t="s">
        <v>143</v>
      </c>
    </row>
    <row r="4" spans="1:2" x14ac:dyDescent="0.25">
      <c r="A4" s="13" t="s">
        <v>122</v>
      </c>
      <c r="B4" cm="1">
        <f t="array" ref="B4">LOC_DG_Wagons</f>
        <v>20</v>
      </c>
    </row>
    <row r="5" spans="1:2" x14ac:dyDescent="0.25">
      <c r="A5" t="s">
        <v>211</v>
      </c>
      <c r="B5">
        <f>1+B4/10</f>
        <v>3</v>
      </c>
    </row>
    <row r="6" spans="1:2" x14ac:dyDescent="0.25">
      <c r="A6" s="13" t="s">
        <v>240</v>
      </c>
      <c r="B6" cm="1">
        <f t="array" ref="B6">INDEX(LOS_Scale,'Loss of Containment'!F3,2)</f>
        <v>1</v>
      </c>
    </row>
    <row r="7" spans="1:2" x14ac:dyDescent="0.25">
      <c r="A7" s="13" t="s">
        <v>86</v>
      </c>
      <c r="B7" cm="1">
        <f t="array" ref="B7">INDEX(LOC_passenger_line,'Loss of Containment'!F9,2)</f>
        <v>1.5</v>
      </c>
    </row>
    <row r="8" spans="1:2" x14ac:dyDescent="0.25">
      <c r="A8" s="13" t="s">
        <v>87</v>
      </c>
      <c r="B8" cm="1">
        <f t="array" ref="B8">INDEX(LOC_High_conseq,'Loss of Containment'!F13,2)</f>
        <v>10</v>
      </c>
    </row>
    <row r="9" spans="1:2" x14ac:dyDescent="0.25">
      <c r="A9" s="13" t="s">
        <v>119</v>
      </c>
      <c r="B9" cm="1">
        <f t="array" ref="B9">INDEX(LOC_Multi_DG,'Loss of Containment'!F17,2)</f>
        <v>1.5</v>
      </c>
    </row>
    <row r="10" spans="1:2" x14ac:dyDescent="0.25">
      <c r="A10" s="13" t="s">
        <v>82</v>
      </c>
      <c r="B10" cm="1">
        <f t="array" ref="B10">INDEX(LOC_DG_Stored,'Loss of Containment'!F21,2)</f>
        <v>10</v>
      </c>
    </row>
    <row r="11" spans="1:2" x14ac:dyDescent="0.25">
      <c r="A11" s="13" t="s">
        <v>391</v>
      </c>
      <c r="B11" cm="1">
        <f t="array" ref="B11">INDEX(LOC_TOPS_error,'Loss of Containment'!F44,2)</f>
        <v>2</v>
      </c>
    </row>
    <row r="12" spans="1:2" x14ac:dyDescent="0.25">
      <c r="A12" s="13" t="s">
        <v>232</v>
      </c>
      <c r="B12">
        <f>IF(SUM('Loss of Containment'!F26:F27,'Loss of Containment'!F30:F32)/COUNT('Loss of Containment'!F26:F27,'Loss of Containment'!F30:F32)&lt;2,1,0)</f>
        <v>1</v>
      </c>
    </row>
    <row r="14" spans="1:2" x14ac:dyDescent="0.25">
      <c r="A14" s="1" t="s">
        <v>204</v>
      </c>
    </row>
    <row r="15" spans="1:2" x14ac:dyDescent="0.25">
      <c r="A15" t="s">
        <v>201</v>
      </c>
      <c r="B15" cm="1">
        <f t="array" ref="B15">IF(B12=1,INDEX(LOC_Conseq_elec,'Loss of Containment'!F51,2),1)</f>
        <v>2</v>
      </c>
    </row>
    <row r="16" spans="1:2" x14ac:dyDescent="0.25">
      <c r="A16" s="14" t="s">
        <v>202</v>
      </c>
      <c r="B16" cm="1">
        <f t="array" ref="B16">INDEX(LOC_conseq_BU,'Loss of Containment'!F53,2)</f>
        <v>2</v>
      </c>
    </row>
    <row r="17" spans="1:2" x14ac:dyDescent="0.25">
      <c r="A17" s="14" t="s">
        <v>203</v>
      </c>
      <c r="B17" cm="1">
        <f t="array" ref="B17">INDEX(LOC_Conseq_Tunnel,'Loss of Containment'!F55,2)</f>
        <v>2</v>
      </c>
    </row>
    <row r="18" spans="1:2" x14ac:dyDescent="0.25">
      <c r="A18" s="14" t="s">
        <v>206</v>
      </c>
      <c r="B18" cm="1">
        <f t="array" ref="B18">INDEX(LOC_Conseq_Bridge,'Loss of Containment'!F57,2)</f>
        <v>1</v>
      </c>
    </row>
    <row r="19" spans="1:2" x14ac:dyDescent="0.25">
      <c r="A19" s="14" t="s">
        <v>392</v>
      </c>
      <c r="B19" cm="1">
        <f t="array" ref="B19">INDEX(LOC_conseq_water,'Loss of Containment'!F59,2)</f>
        <v>1</v>
      </c>
    </row>
    <row r="20" spans="1:2" x14ac:dyDescent="0.25">
      <c r="A20" s="18" t="s">
        <v>212</v>
      </c>
      <c r="B20" s="1">
        <v>1</v>
      </c>
    </row>
    <row r="22" spans="1:2" x14ac:dyDescent="0.25">
      <c r="A22" s="14" t="s">
        <v>297</v>
      </c>
      <c r="B22">
        <f>PRODUCT(B5:B11,B15:B19)</f>
        <v>10800</v>
      </c>
    </row>
    <row r="23" spans="1:2" x14ac:dyDescent="0.25">
      <c r="A23" s="13"/>
    </row>
    <row r="24" spans="1:2" x14ac:dyDescent="0.25">
      <c r="A24" s="13" t="s">
        <v>298</v>
      </c>
      <c r="B24" s="15">
        <f>IF(B22=0,0,LOG(B22*calib,2))</f>
        <v>27.263034405833796</v>
      </c>
    </row>
    <row r="25" spans="1:2" x14ac:dyDescent="0.25">
      <c r="A25" s="13"/>
    </row>
    <row r="27" spans="1:2" x14ac:dyDescent="0.25">
      <c r="A27" s="13"/>
    </row>
    <row r="28" spans="1:2" x14ac:dyDescent="0.25">
      <c r="A28" s="13"/>
    </row>
    <row r="29" spans="1:2" x14ac:dyDescent="0.25">
      <c r="A29" s="13"/>
    </row>
    <row r="31" spans="1:2" x14ac:dyDescent="0.25">
      <c r="A31" s="13"/>
    </row>
    <row r="32" spans="1:2" x14ac:dyDescent="0.25">
      <c r="A32" s="13"/>
    </row>
    <row r="33" spans="1:1" x14ac:dyDescent="0.25">
      <c r="A33" s="13"/>
    </row>
    <row r="35" spans="1:1" x14ac:dyDescent="0.25">
      <c r="A35" s="13"/>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6A36C-8F08-40FA-96CE-75A0B86F09AC}">
  <sheetPr>
    <tabColor theme="9" tint="0.39997558519241921"/>
  </sheetPr>
  <dimension ref="B2:E14"/>
  <sheetViews>
    <sheetView showGridLines="0" topLeftCell="A4" workbookViewId="0">
      <selection activeCell="H3" sqref="H3"/>
    </sheetView>
  </sheetViews>
  <sheetFormatPr defaultRowHeight="15" x14ac:dyDescent="0.25"/>
  <cols>
    <col min="2" max="2" width="28.85546875" customWidth="1"/>
    <col min="3" max="3" width="14.5703125" customWidth="1"/>
    <col min="4" max="4" width="17.5703125" customWidth="1"/>
    <col min="5" max="5" width="16.7109375" customWidth="1"/>
    <col min="7" max="7" width="12.7109375" bestFit="1" customWidth="1"/>
  </cols>
  <sheetData>
    <row r="2" spans="2:5" x14ac:dyDescent="0.25">
      <c r="B2" s="1" t="s">
        <v>252</v>
      </c>
    </row>
    <row r="3" spans="2:5" ht="30" x14ac:dyDescent="0.25">
      <c r="B3" s="59" t="s">
        <v>293</v>
      </c>
      <c r="C3" s="60" t="s">
        <v>294</v>
      </c>
      <c r="D3" s="60" t="s">
        <v>277</v>
      </c>
      <c r="E3" s="60" t="s">
        <v>296</v>
      </c>
    </row>
    <row r="4" spans="2:5" x14ac:dyDescent="0.25">
      <c r="B4" s="8" t="s">
        <v>292</v>
      </c>
      <c r="C4" s="61">
        <v>6.12</v>
      </c>
      <c r="D4" s="62">
        <f t="shared" ref="D4:D11" si="0">LOG((C4*calib),2)</f>
        <v>16.477822366813527</v>
      </c>
      <c r="E4" s="58">
        <f t="shared" ref="E4:E11" si="1">ROUND(D4,0)</f>
        <v>16</v>
      </c>
    </row>
    <row r="5" spans="2:5" x14ac:dyDescent="0.25">
      <c r="B5" s="8" t="s">
        <v>117</v>
      </c>
      <c r="C5" s="61">
        <v>3674.16</v>
      </c>
      <c r="D5" s="62">
        <f t="shared" si="0"/>
        <v>25.70748945194773</v>
      </c>
      <c r="E5" s="58">
        <f t="shared" si="1"/>
        <v>26</v>
      </c>
    </row>
    <row r="6" spans="2:5" x14ac:dyDescent="0.25">
      <c r="B6" s="8" t="s">
        <v>1</v>
      </c>
      <c r="C6" s="61">
        <v>43200</v>
      </c>
      <c r="D6" s="62">
        <f t="shared" si="0"/>
        <v>29.263034405833796</v>
      </c>
      <c r="E6" s="58">
        <f t="shared" si="1"/>
        <v>29</v>
      </c>
    </row>
    <row r="7" spans="2:5" x14ac:dyDescent="0.25">
      <c r="B7" s="8" t="s">
        <v>253</v>
      </c>
      <c r="C7" s="61">
        <v>6124</v>
      </c>
      <c r="D7" s="62">
        <f t="shared" si="0"/>
        <v>26.444549281395393</v>
      </c>
      <c r="E7" s="58">
        <f t="shared" si="1"/>
        <v>26</v>
      </c>
    </row>
    <row r="8" spans="2:5" x14ac:dyDescent="0.25">
      <c r="B8" s="8" t="s">
        <v>110</v>
      </c>
      <c r="C8" s="61">
        <v>72000</v>
      </c>
      <c r="D8" s="62">
        <f t="shared" si="0"/>
        <v>30</v>
      </c>
      <c r="E8" s="58">
        <f t="shared" si="1"/>
        <v>30</v>
      </c>
    </row>
    <row r="9" spans="2:5" x14ac:dyDescent="0.25">
      <c r="B9" s="8" t="s">
        <v>109</v>
      </c>
      <c r="C9" s="61">
        <v>21600</v>
      </c>
      <c r="D9" s="62">
        <f t="shared" si="0"/>
        <v>28.263034405833793</v>
      </c>
      <c r="E9" s="58">
        <f t="shared" si="1"/>
        <v>28</v>
      </c>
    </row>
    <row r="10" spans="2:5" x14ac:dyDescent="0.25">
      <c r="B10" s="8" t="s">
        <v>254</v>
      </c>
      <c r="C10" s="61">
        <v>919</v>
      </c>
      <c r="D10" s="62">
        <f t="shared" si="0"/>
        <v>23.708211765184636</v>
      </c>
      <c r="E10" s="58">
        <f t="shared" si="1"/>
        <v>24</v>
      </c>
    </row>
    <row r="11" spans="2:5" x14ac:dyDescent="0.25">
      <c r="B11" s="8" t="s">
        <v>106</v>
      </c>
      <c r="C11" s="61">
        <v>21900</v>
      </c>
      <c r="D11" s="62">
        <f t="shared" si="0"/>
        <v>28.2829339632715</v>
      </c>
      <c r="E11" s="58">
        <f t="shared" si="1"/>
        <v>28</v>
      </c>
    </row>
    <row r="13" spans="2:5" x14ac:dyDescent="0.25">
      <c r="B13" s="1" t="s">
        <v>212</v>
      </c>
      <c r="C13" s="51">
        <f>C14/MAX(C4:C11)</f>
        <v>14913.08088888889</v>
      </c>
    </row>
    <row r="14" spans="2:5" x14ac:dyDescent="0.25">
      <c r="B14" t="s">
        <v>295</v>
      </c>
      <c r="C14" s="2">
        <f>2^30</f>
        <v>1073741824</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8C412-98BE-4C4C-BE24-30010C50B1A0}">
  <sheetPr>
    <tabColor theme="9" tint="0.39997558519241921"/>
  </sheetPr>
  <dimension ref="A2:J54"/>
  <sheetViews>
    <sheetView showGridLines="0" topLeftCell="D31" zoomScaleNormal="100" workbookViewId="0">
      <selection activeCell="H3" sqref="H3"/>
    </sheetView>
  </sheetViews>
  <sheetFormatPr defaultRowHeight="15" x14ac:dyDescent="0.25"/>
  <cols>
    <col min="1" max="1" width="21.7109375" customWidth="1"/>
    <col min="2" max="2" width="27.5703125" customWidth="1"/>
    <col min="3" max="10" width="12.42578125" customWidth="1"/>
  </cols>
  <sheetData>
    <row r="2" spans="1:3" x14ac:dyDescent="0.25">
      <c r="A2" s="9" t="s">
        <v>299</v>
      </c>
      <c r="B2" s="9" t="s">
        <v>300</v>
      </c>
      <c r="C2" s="9" t="s">
        <v>301</v>
      </c>
    </row>
    <row r="3" spans="1:3" x14ac:dyDescent="0.25">
      <c r="A3" s="8" t="s">
        <v>263</v>
      </c>
      <c r="B3" s="63" t="s">
        <v>263</v>
      </c>
      <c r="C3" s="8" t="e">
        <f>COUNTIF(#REF!,'Stats and distribution'!A3)</f>
        <v>#REF!</v>
      </c>
    </row>
    <row r="4" spans="1:3" x14ac:dyDescent="0.25">
      <c r="A4" s="8" t="s">
        <v>110</v>
      </c>
      <c r="B4" s="63" t="s">
        <v>110</v>
      </c>
      <c r="C4" s="8" t="e">
        <f>COUNTIF(#REF!,'Stats and distribution'!A4)</f>
        <v>#REF!</v>
      </c>
    </row>
    <row r="5" spans="1:3" x14ac:dyDescent="0.25">
      <c r="A5" s="8" t="s">
        <v>283</v>
      </c>
      <c r="B5" s="63" t="s">
        <v>283</v>
      </c>
      <c r="C5" s="8" t="e">
        <f>COUNTIF(#REF!,'Stats and distribution'!A5)</f>
        <v>#REF!</v>
      </c>
    </row>
    <row r="6" spans="1:3" x14ac:dyDescent="0.25">
      <c r="A6" s="8" t="s">
        <v>1</v>
      </c>
      <c r="B6" s="63" t="s">
        <v>1</v>
      </c>
      <c r="C6" s="8" t="e">
        <f>COUNTIF(#REF!,'Stats and distribution'!A6)</f>
        <v>#REF!</v>
      </c>
    </row>
    <row r="7" spans="1:3" x14ac:dyDescent="0.25">
      <c r="A7" s="8" t="s">
        <v>117</v>
      </c>
      <c r="B7" s="63" t="s">
        <v>117</v>
      </c>
      <c r="C7" s="8" t="e">
        <f>COUNTIF(#REF!,'Stats and distribution'!A7)</f>
        <v>#REF!</v>
      </c>
    </row>
    <row r="8" spans="1:3" x14ac:dyDescent="0.25">
      <c r="A8" s="8" t="s">
        <v>285</v>
      </c>
      <c r="B8" s="63" t="s">
        <v>106</v>
      </c>
      <c r="C8" s="8" t="e">
        <f>COUNTIF(#REF!,'Stats and distribution'!A8)</f>
        <v>#REF!</v>
      </c>
    </row>
    <row r="9" spans="1:3" ht="30" x14ac:dyDescent="0.25">
      <c r="A9" s="8" t="s">
        <v>284</v>
      </c>
      <c r="B9" s="63" t="s">
        <v>289</v>
      </c>
      <c r="C9" s="8" t="e">
        <f>COUNTIF(#REF!,'Stats and distribution'!A9)</f>
        <v>#REF!</v>
      </c>
    </row>
    <row r="10" spans="1:3" x14ac:dyDescent="0.25">
      <c r="A10" s="8" t="s">
        <v>109</v>
      </c>
      <c r="B10" s="63" t="s">
        <v>109</v>
      </c>
      <c r="C10" s="8" t="e">
        <f>COUNTIF(#REF!,'Stats and distribution'!A10)</f>
        <v>#REF!</v>
      </c>
    </row>
    <row r="11" spans="1:3" x14ac:dyDescent="0.25">
      <c r="A11" s="8" t="s">
        <v>288</v>
      </c>
      <c r="B11" s="63" t="s">
        <v>288</v>
      </c>
      <c r="C11" s="8" t="e">
        <f>COUNTIF(#REF!,'Stats and distribution'!A11)</f>
        <v>#REF!</v>
      </c>
    </row>
    <row r="12" spans="1:3" x14ac:dyDescent="0.25">
      <c r="A12" s="8" t="s">
        <v>286</v>
      </c>
      <c r="B12" s="63" t="s">
        <v>286</v>
      </c>
      <c r="C12" s="8" t="e">
        <f>COUNTIF(#REF!,'Stats and distribution'!A12)</f>
        <v>#REF!</v>
      </c>
    </row>
    <row r="13" spans="1:3" x14ac:dyDescent="0.25">
      <c r="A13" s="8" t="s">
        <v>287</v>
      </c>
      <c r="B13" s="63" t="s">
        <v>287</v>
      </c>
      <c r="C13" s="8" t="e">
        <f>COUNTIF(#REF!,'Stats and distribution'!A13)</f>
        <v>#REF!</v>
      </c>
    </row>
    <row r="14" spans="1:3" x14ac:dyDescent="0.25">
      <c r="A14" s="64" t="s">
        <v>142</v>
      </c>
      <c r="B14" s="8"/>
      <c r="C14" s="8" t="e">
        <f>SUM(C3:C13)</f>
        <v>#REF!</v>
      </c>
    </row>
    <row r="18" spans="1:10" x14ac:dyDescent="0.25">
      <c r="A18" s="1" t="s">
        <v>302</v>
      </c>
    </row>
    <row r="19" spans="1:10" ht="45" x14ac:dyDescent="0.25">
      <c r="B19" s="60" t="s">
        <v>291</v>
      </c>
      <c r="C19" s="60" t="s">
        <v>290</v>
      </c>
      <c r="D19" s="60" t="s">
        <v>110</v>
      </c>
      <c r="E19" s="60" t="s">
        <v>283</v>
      </c>
      <c r="F19" s="60" t="s">
        <v>1</v>
      </c>
      <c r="G19" s="60" t="s">
        <v>117</v>
      </c>
      <c r="H19" s="60" t="s">
        <v>106</v>
      </c>
      <c r="I19" s="60" t="s">
        <v>143</v>
      </c>
      <c r="J19" s="60" t="s">
        <v>109</v>
      </c>
    </row>
    <row r="20" spans="1:10" hidden="1" x14ac:dyDescent="0.25">
      <c r="B20">
        <v>-0.01</v>
      </c>
      <c r="C20" s="11"/>
      <c r="D20" s="11"/>
      <c r="E20" s="11"/>
      <c r="F20" s="11"/>
      <c r="G20" s="11"/>
      <c r="H20" s="11"/>
      <c r="I20" s="11"/>
      <c r="J20" s="11"/>
    </row>
    <row r="21" spans="1:10" x14ac:dyDescent="0.25">
      <c r="B21" s="66">
        <v>0</v>
      </c>
      <c r="C21" s="65">
        <f>COUNTIFS('CM Admin error'!$I$49:$AZ$49,"&gt;"&amp;'Stats and distribution'!$B20,'CM Admin error'!$I$49:$AZ$49,"&lt;="&amp;'Stats and distribution'!$B21)</f>
        <v>12</v>
      </c>
      <c r="D21" s="65">
        <f>COUNTIFS('CM Collision '!$I$70,"&gt;"&amp;'Stats and distribution'!$B20,'CM Collision '!$I$70,"&lt;="&amp;'Stats and distribution'!$B21)</f>
        <v>0</v>
      </c>
      <c r="E21" s="65">
        <f>COUNTIFS('CM Collision precursor'!$G$48:$Q$48,"&gt;"&amp;'Stats and distribution'!$B20,'CM Collision precursor'!$G$48:$Q$48,"&lt;="&amp;'Stats and distribution'!$B21)</f>
        <v>1</v>
      </c>
      <c r="F21" s="65">
        <f>COUNTIFS('CM Derailment'!$H$69:$L$69,"&gt;"&amp;'Stats and distribution'!$B20,'CM Derailment'!$H$69:$L$69,"&lt;="&amp;'Stats and distribution'!$B21)</f>
        <v>0</v>
      </c>
      <c r="G21" s="65" t="e">
        <f>COUNTIFS(#REF!,"&gt;"&amp;'Stats and distribution'!$B20,#REF!,"&lt;="&amp;'Stats and distribution'!$B21)</f>
        <v>#REF!</v>
      </c>
      <c r="H21" s="65">
        <f>COUNTIFS('CM Loss of containment'!$I$70:$J$70,"&gt;"&amp;'Stats and distribution'!$B20,'CM Loss of containment'!$I$70:$J$70,"&lt;="&amp;'Stats and distribution'!$B21)</f>
        <v>0</v>
      </c>
      <c r="I21" s="65">
        <f>COUNTIFS('CM Loss of contain Pre'!$I$45:$O$45,"&gt;"&amp;'Stats and distribution'!$B20,'CM Loss of contain Pre'!$I$45:$O$45,"&lt;="&amp;'Stats and distribution'!$B21)</f>
        <v>1</v>
      </c>
      <c r="J21" s="65">
        <f>COUNTIFS('CM Fire'!$I$73:$R$73,"&gt;"&amp;'Stats and distribution'!$B20,'CM Fire'!$I$73:$R$73,"&lt;="&amp;'Stats and distribution'!$B21)</f>
        <v>0</v>
      </c>
    </row>
    <row r="22" spans="1:10" x14ac:dyDescent="0.25">
      <c r="B22" s="66">
        <v>1</v>
      </c>
      <c r="C22" s="65">
        <f>COUNTIFS('CM Admin error'!$I$49:$AZ$49,"&gt;"&amp;'Stats and distribution'!B21,'CM Admin error'!$I$49:$AZ$49,"&lt;="&amp;'Stats and distribution'!B22)</f>
        <v>0</v>
      </c>
      <c r="D22" s="65">
        <f>COUNTIFS('CM Collision '!$I$70,"&gt;"&amp;'Stats and distribution'!$B21,'CM Collision '!$I$70,"&lt;="&amp;'Stats and distribution'!$B22)</f>
        <v>0</v>
      </c>
      <c r="E22" s="65">
        <f>COUNTIFS('CM Collision precursor'!$G$48:$Q$48,"&gt;"&amp;'Stats and distribution'!$B21,'CM Collision precursor'!$G$48:$Q$48,"&lt;="&amp;'Stats and distribution'!$B22)</f>
        <v>0</v>
      </c>
      <c r="F22" s="65">
        <f>COUNTIFS('CM Derailment'!$H$69:$L$69,"&gt;"&amp;'Stats and distribution'!$B21,'CM Derailment'!$H$69:$L$69,"&lt;="&amp;'Stats and distribution'!$B22)</f>
        <v>0</v>
      </c>
      <c r="G22" s="65" t="e">
        <f>COUNTIFS(#REF!,"&gt;"&amp;'Stats and distribution'!$B21,#REF!,"&lt;="&amp;'Stats and distribution'!$B22)</f>
        <v>#REF!</v>
      </c>
      <c r="H22" s="65">
        <f>COUNTIFS('CM Loss of containment'!$I$70:$J$70,"&gt;"&amp;'Stats and distribution'!$B21,'CM Loss of containment'!$I$70:$J$70,"&lt;="&amp;'Stats and distribution'!$B22)</f>
        <v>0</v>
      </c>
      <c r="I22" s="65">
        <f>COUNTIFS('CM Loss of contain Pre'!$I$45:$O$45,"&gt;"&amp;'Stats and distribution'!$B21,'CM Loss of contain Pre'!$I$45:$O$45,"&lt;="&amp;'Stats and distribution'!$B22)</f>
        <v>0</v>
      </c>
      <c r="J22" s="65">
        <f>COUNTIFS('CM Fire'!$I$73:$R$73,"&gt;"&amp;'Stats and distribution'!$B21,'CM Fire'!$I$73:$R$73,"&lt;="&amp;'Stats and distribution'!$B22)</f>
        <v>0</v>
      </c>
    </row>
    <row r="23" spans="1:10" x14ac:dyDescent="0.25">
      <c r="B23" s="66">
        <v>2</v>
      </c>
      <c r="C23" s="65">
        <f>COUNTIFS('CM Admin error'!$I$49:$AZ$49,"&gt;"&amp;'Stats and distribution'!B22,'CM Admin error'!$I$49:$AZ$49,"&lt;="&amp;'Stats and distribution'!B23)</f>
        <v>0</v>
      </c>
      <c r="D23" s="65">
        <f>COUNTIFS('CM Collision '!$I$70,"&gt;"&amp;'Stats and distribution'!$B22,'CM Collision '!$I$70,"&lt;="&amp;'Stats and distribution'!$B23)</f>
        <v>0</v>
      </c>
      <c r="E23" s="65">
        <f>COUNTIFS('CM Collision precursor'!$G$48:$Q$48,"&gt;"&amp;'Stats and distribution'!$B22,'CM Collision precursor'!$G$48:$Q$48,"&lt;="&amp;'Stats and distribution'!$B23)</f>
        <v>0</v>
      </c>
      <c r="F23" s="65">
        <f>COUNTIFS('CM Derailment'!$H$69:$L$69,"&gt;"&amp;'Stats and distribution'!$B22,'CM Derailment'!$H$69:$L$69,"&lt;="&amp;'Stats and distribution'!$B23)</f>
        <v>0</v>
      </c>
      <c r="G23" s="65" t="e">
        <f>COUNTIFS(#REF!,"&gt;"&amp;'Stats and distribution'!$B22,#REF!,"&lt;="&amp;'Stats and distribution'!$B23)</f>
        <v>#REF!</v>
      </c>
      <c r="H23" s="65">
        <f>COUNTIFS('CM Loss of containment'!$I$70:$J$70,"&gt;"&amp;'Stats and distribution'!$B22,'CM Loss of containment'!$I$70:$J$70,"&lt;="&amp;'Stats and distribution'!$B23)</f>
        <v>0</v>
      </c>
      <c r="I23" s="65">
        <f>COUNTIFS('CM Loss of contain Pre'!$I$45:$O$45,"&gt;"&amp;'Stats and distribution'!$B22,'CM Loss of contain Pre'!$I$45:$O$45,"&lt;="&amp;'Stats and distribution'!$B23)</f>
        <v>0</v>
      </c>
      <c r="J23" s="65">
        <f>COUNTIFS('CM Fire'!$I$73:$R$73,"&gt;"&amp;'Stats and distribution'!$B22,'CM Fire'!$I$73:$R$73,"&lt;="&amp;'Stats and distribution'!$B23)</f>
        <v>1</v>
      </c>
    </row>
    <row r="24" spans="1:10" x14ac:dyDescent="0.25">
      <c r="B24" s="66">
        <v>3</v>
      </c>
      <c r="C24" s="65">
        <f>COUNTIFS('CM Admin error'!$I$49:$AZ$49,"&gt;"&amp;'Stats and distribution'!B23,'CM Admin error'!$I$49:$AZ$49,"&lt;="&amp;'Stats and distribution'!B24)</f>
        <v>0</v>
      </c>
      <c r="D24" s="65">
        <f>COUNTIFS('CM Collision '!$I$70,"&gt;"&amp;'Stats and distribution'!$B23,'CM Collision '!$I$70,"&lt;="&amp;'Stats and distribution'!$B24)</f>
        <v>0</v>
      </c>
      <c r="E24" s="65">
        <f>COUNTIFS('CM Collision precursor'!$G$48:$Q$48,"&gt;"&amp;'Stats and distribution'!$B23,'CM Collision precursor'!$G$48:$Q$48,"&lt;="&amp;'Stats and distribution'!$B24)</f>
        <v>0</v>
      </c>
      <c r="F24" s="65">
        <f>COUNTIFS('CM Derailment'!$H$69:$L$69,"&gt;"&amp;'Stats and distribution'!$B23,'CM Derailment'!$H$69:$L$69,"&lt;="&amp;'Stats and distribution'!$B24)</f>
        <v>0</v>
      </c>
      <c r="G24" s="65" t="e">
        <f>COUNTIFS(#REF!,"&gt;"&amp;'Stats and distribution'!$B23,#REF!,"&lt;="&amp;'Stats and distribution'!$B24)</f>
        <v>#REF!</v>
      </c>
      <c r="H24" s="65">
        <f>COUNTIFS('CM Loss of containment'!$I$70:$J$70,"&gt;"&amp;'Stats and distribution'!$B23,'CM Loss of containment'!$I$70:$J$70,"&lt;="&amp;'Stats and distribution'!$B24)</f>
        <v>0</v>
      </c>
      <c r="I24" s="65">
        <f>COUNTIFS('CM Loss of contain Pre'!$I$45:$O$45,"&gt;"&amp;'Stats and distribution'!$B23,'CM Loss of contain Pre'!$I$45:$O$45,"&lt;="&amp;'Stats and distribution'!$B24)</f>
        <v>0</v>
      </c>
      <c r="J24" s="65">
        <f>COUNTIFS('CM Fire'!$I$73:$R$73,"&gt;"&amp;'Stats and distribution'!$B23,'CM Fire'!$I$73:$R$73,"&lt;="&amp;'Stats and distribution'!$B24)</f>
        <v>2</v>
      </c>
    </row>
    <row r="25" spans="1:10" x14ac:dyDescent="0.25">
      <c r="B25" s="66">
        <v>4</v>
      </c>
      <c r="C25" s="65">
        <f>COUNTIFS('CM Admin error'!$I$49:$AZ$49,"&gt;"&amp;'Stats and distribution'!B24,'CM Admin error'!$I$49:$AZ$49,"&lt;="&amp;'Stats and distribution'!B25)</f>
        <v>8</v>
      </c>
      <c r="D25" s="65">
        <f>COUNTIFS('CM Collision '!$I$70,"&gt;"&amp;'Stats and distribution'!$B24,'CM Collision '!$I$70,"&lt;="&amp;'Stats and distribution'!$B25)</f>
        <v>0</v>
      </c>
      <c r="E25" s="65">
        <f>COUNTIFS('CM Collision precursor'!$G$48:$Q$48,"&gt;"&amp;'Stats and distribution'!$B24,'CM Collision precursor'!$G$48:$Q$48,"&lt;="&amp;'Stats and distribution'!$B25)</f>
        <v>0</v>
      </c>
      <c r="F25" s="65">
        <f>COUNTIFS('CM Derailment'!$H$69:$L$69,"&gt;"&amp;'Stats and distribution'!$B24,'CM Derailment'!$H$69:$L$69,"&lt;="&amp;'Stats and distribution'!$B25)</f>
        <v>0</v>
      </c>
      <c r="G25" s="65" t="e">
        <f>COUNTIFS(#REF!,"&gt;"&amp;'Stats and distribution'!$B24,#REF!,"&lt;="&amp;'Stats and distribution'!$B25)</f>
        <v>#REF!</v>
      </c>
      <c r="H25" s="65">
        <f>COUNTIFS('CM Loss of containment'!$I$70:$J$70,"&gt;"&amp;'Stats and distribution'!$B24,'CM Loss of containment'!$I$70:$J$70,"&lt;="&amp;'Stats and distribution'!$B25)</f>
        <v>0</v>
      </c>
      <c r="I25" s="65">
        <f>COUNTIFS('CM Loss of contain Pre'!$I$45:$O$45,"&gt;"&amp;'Stats and distribution'!$B24,'CM Loss of contain Pre'!$I$45:$O$45,"&lt;="&amp;'Stats and distribution'!$B25)</f>
        <v>0</v>
      </c>
      <c r="J25" s="65">
        <f>COUNTIFS('CM Fire'!$I$73:$R$73,"&gt;"&amp;'Stats and distribution'!$B24,'CM Fire'!$I$73:$R$73,"&lt;="&amp;'Stats and distribution'!$B25)</f>
        <v>1</v>
      </c>
    </row>
    <row r="26" spans="1:10" x14ac:dyDescent="0.25">
      <c r="B26" s="66">
        <v>5</v>
      </c>
      <c r="C26" s="65">
        <f>COUNTIFS('CM Admin error'!$I$49:$AZ$49,"&gt;"&amp;'Stats and distribution'!B25,'CM Admin error'!$I$49:$AZ$49,"&lt;="&amp;'Stats and distribution'!B26)</f>
        <v>0</v>
      </c>
      <c r="D26" s="65">
        <f>COUNTIFS('CM Collision '!$I$70,"&gt;"&amp;'Stats and distribution'!$B25,'CM Collision '!$I$70,"&lt;="&amp;'Stats and distribution'!$B26)</f>
        <v>0</v>
      </c>
      <c r="E26" s="65">
        <f>COUNTIFS('CM Collision precursor'!$G$48:$Q$48,"&gt;"&amp;'Stats and distribution'!$B25,'CM Collision precursor'!$G$48:$Q$48,"&lt;="&amp;'Stats and distribution'!$B26)</f>
        <v>0</v>
      </c>
      <c r="F26" s="65">
        <f>COUNTIFS('CM Derailment'!$H$69:$L$69,"&gt;"&amp;'Stats and distribution'!$B25,'CM Derailment'!$H$69:$L$69,"&lt;="&amp;'Stats and distribution'!$B26)</f>
        <v>0</v>
      </c>
      <c r="G26" s="65" t="e">
        <f>COUNTIFS(#REF!,"&gt;"&amp;'Stats and distribution'!$B25,#REF!,"&lt;="&amp;'Stats and distribution'!$B26)</f>
        <v>#REF!</v>
      </c>
      <c r="H26" s="65">
        <f>COUNTIFS('CM Loss of containment'!$I$70:$J$70,"&gt;"&amp;'Stats and distribution'!$B25,'CM Loss of containment'!$I$70:$J$70,"&lt;="&amp;'Stats and distribution'!$B26)</f>
        <v>0</v>
      </c>
      <c r="I26" s="65">
        <f>COUNTIFS('CM Loss of contain Pre'!$I$45:$O$45,"&gt;"&amp;'Stats and distribution'!$B25,'CM Loss of contain Pre'!$I$45:$O$45,"&lt;="&amp;'Stats and distribution'!$B26)</f>
        <v>0</v>
      </c>
      <c r="J26" s="65">
        <f>COUNTIFS('CM Fire'!$I$73:$R$73,"&gt;"&amp;'Stats and distribution'!$B25,'CM Fire'!$I$73:$R$73,"&lt;="&amp;'Stats and distribution'!$B26)</f>
        <v>0</v>
      </c>
    </row>
    <row r="27" spans="1:10" x14ac:dyDescent="0.25">
      <c r="B27" s="66">
        <v>6</v>
      </c>
      <c r="C27" s="65">
        <f>COUNTIFS('CM Admin error'!$I$49:$AZ$49,"&gt;"&amp;'Stats and distribution'!B26,'CM Admin error'!$I$49:$AZ$49,"&lt;="&amp;'Stats and distribution'!B27)</f>
        <v>0</v>
      </c>
      <c r="D27" s="65">
        <f>COUNTIFS('CM Collision '!$I$70,"&gt;"&amp;'Stats and distribution'!$B26,'CM Collision '!$I$70,"&lt;="&amp;'Stats and distribution'!$B27)</f>
        <v>0</v>
      </c>
      <c r="E27" s="65">
        <f>COUNTIFS('CM Collision precursor'!$G$48:$Q$48,"&gt;"&amp;'Stats and distribution'!$B26,'CM Collision precursor'!$G$48:$Q$48,"&lt;="&amp;'Stats and distribution'!$B27)</f>
        <v>0</v>
      </c>
      <c r="F27" s="65">
        <f>COUNTIFS('CM Derailment'!$H$69:$L$69,"&gt;"&amp;'Stats and distribution'!$B26,'CM Derailment'!$H$69:$L$69,"&lt;="&amp;'Stats and distribution'!$B27)</f>
        <v>0</v>
      </c>
      <c r="G27" s="65" t="e">
        <f>COUNTIFS(#REF!,"&gt;"&amp;'Stats and distribution'!$B26,#REF!,"&lt;="&amp;'Stats and distribution'!$B27)</f>
        <v>#REF!</v>
      </c>
      <c r="H27" s="65">
        <f>COUNTIFS('CM Loss of containment'!$I$70:$J$70,"&gt;"&amp;'Stats and distribution'!$B26,'CM Loss of containment'!$I$70:$J$70,"&lt;="&amp;'Stats and distribution'!$B27)</f>
        <v>0</v>
      </c>
      <c r="I27" s="65">
        <f>COUNTIFS('CM Loss of contain Pre'!$I$45:$O$45,"&gt;"&amp;'Stats and distribution'!$B26,'CM Loss of contain Pre'!$I$45:$O$45,"&lt;="&amp;'Stats and distribution'!$B27)</f>
        <v>0</v>
      </c>
      <c r="J27" s="65">
        <f>COUNTIFS('CM Fire'!$I$73:$R$73,"&gt;"&amp;'Stats and distribution'!$B26,'CM Fire'!$I$73:$R$73,"&lt;="&amp;'Stats and distribution'!$B27)</f>
        <v>5</v>
      </c>
    </row>
    <row r="28" spans="1:10" x14ac:dyDescent="0.25">
      <c r="B28" s="66">
        <v>7</v>
      </c>
      <c r="C28" s="65">
        <f>COUNTIFS('CM Admin error'!$I$49:$AZ$49,"&gt;"&amp;'Stats and distribution'!B27,'CM Admin error'!$I$49:$AZ$49,"&lt;="&amp;'Stats and distribution'!B28)</f>
        <v>0</v>
      </c>
      <c r="D28" s="65">
        <f>COUNTIFS('CM Collision '!$I$70,"&gt;"&amp;'Stats and distribution'!$B27,'CM Collision '!$I$70,"&lt;="&amp;'Stats and distribution'!$B28)</f>
        <v>0</v>
      </c>
      <c r="E28" s="65">
        <f>COUNTIFS('CM Collision precursor'!$G$48:$Q$48,"&gt;"&amp;'Stats and distribution'!$B27,'CM Collision precursor'!$G$48:$Q$48,"&lt;="&amp;'Stats and distribution'!$B28)</f>
        <v>0</v>
      </c>
      <c r="F28" s="65">
        <f>COUNTIFS('CM Derailment'!$H$69:$L$69,"&gt;"&amp;'Stats and distribution'!$B27,'CM Derailment'!$H$69:$L$69,"&lt;="&amp;'Stats and distribution'!$B28)</f>
        <v>0</v>
      </c>
      <c r="G28" s="65" t="e">
        <f>COUNTIFS(#REF!,"&gt;"&amp;'Stats and distribution'!$B27,#REF!,"&lt;="&amp;'Stats and distribution'!$B28)</f>
        <v>#REF!</v>
      </c>
      <c r="H28" s="65">
        <f>COUNTIFS('CM Loss of containment'!$I$70:$J$70,"&gt;"&amp;'Stats and distribution'!$B27,'CM Loss of containment'!$I$70:$J$70,"&lt;="&amp;'Stats and distribution'!$B28)</f>
        <v>0</v>
      </c>
      <c r="I28" s="65">
        <f>COUNTIFS('CM Loss of contain Pre'!$I$45:$O$45,"&gt;"&amp;'Stats and distribution'!$B27,'CM Loss of contain Pre'!$I$45:$O$45,"&lt;="&amp;'Stats and distribution'!$B28)</f>
        <v>0</v>
      </c>
      <c r="J28" s="65">
        <f>COUNTIFS('CM Fire'!$I$73:$R$73,"&gt;"&amp;'Stats and distribution'!$B27,'CM Fire'!$I$73:$R$73,"&lt;="&amp;'Stats and distribution'!$B28)</f>
        <v>0</v>
      </c>
    </row>
    <row r="29" spans="1:10" x14ac:dyDescent="0.25">
      <c r="B29" s="66">
        <v>8</v>
      </c>
      <c r="C29" s="65">
        <f>COUNTIFS('CM Admin error'!$I$49:$AZ$49,"&gt;"&amp;'Stats and distribution'!B28,'CM Admin error'!$I$49:$AZ$49,"&lt;="&amp;'Stats and distribution'!B29)</f>
        <v>0</v>
      </c>
      <c r="D29" s="65">
        <f>COUNTIFS('CM Collision '!$I$70,"&gt;"&amp;'Stats and distribution'!$B28,'CM Collision '!$I$70,"&lt;="&amp;'Stats and distribution'!$B29)</f>
        <v>0</v>
      </c>
      <c r="E29" s="65">
        <f>COUNTIFS('CM Collision precursor'!$G$48:$Q$48,"&gt;"&amp;'Stats and distribution'!$B28,'CM Collision precursor'!$G$48:$Q$48,"&lt;="&amp;'Stats and distribution'!$B29)</f>
        <v>0</v>
      </c>
      <c r="F29" s="65">
        <f>COUNTIFS('CM Derailment'!$H$69:$L$69,"&gt;"&amp;'Stats and distribution'!$B28,'CM Derailment'!$H$69:$L$69,"&lt;="&amp;'Stats and distribution'!$B29)</f>
        <v>0</v>
      </c>
      <c r="G29" s="65" t="e">
        <f>COUNTIFS(#REF!,"&gt;"&amp;'Stats and distribution'!$B28,#REF!,"&lt;="&amp;'Stats and distribution'!$B29)</f>
        <v>#REF!</v>
      </c>
      <c r="H29" s="65">
        <f>COUNTIFS('CM Loss of containment'!$I$70:$J$70,"&gt;"&amp;'Stats and distribution'!$B28,'CM Loss of containment'!$I$70:$J$70,"&lt;="&amp;'Stats and distribution'!$B29)</f>
        <v>0</v>
      </c>
      <c r="I29" s="65">
        <f>COUNTIFS('CM Loss of contain Pre'!$I$45:$O$45,"&gt;"&amp;'Stats and distribution'!$B28,'CM Loss of contain Pre'!$I$45:$O$45,"&lt;="&amp;'Stats and distribution'!$B29)</f>
        <v>0</v>
      </c>
      <c r="J29" s="65">
        <f>COUNTIFS('CM Fire'!$I$73:$R$73,"&gt;"&amp;'Stats and distribution'!$B28,'CM Fire'!$I$73:$R$73,"&lt;="&amp;'Stats and distribution'!$B29)</f>
        <v>1</v>
      </c>
    </row>
    <row r="30" spans="1:10" x14ac:dyDescent="0.25">
      <c r="B30" s="66">
        <v>9</v>
      </c>
      <c r="C30" s="65">
        <f>COUNTIFS('CM Admin error'!$I$49:$AZ$49,"&gt;"&amp;'Stats and distribution'!B29,'CM Admin error'!$I$49:$AZ$49,"&lt;="&amp;'Stats and distribution'!B30)</f>
        <v>0</v>
      </c>
      <c r="D30" s="65">
        <f>COUNTIFS('CM Collision '!$I$70,"&gt;"&amp;'Stats and distribution'!$B29,'CM Collision '!$I$70,"&lt;="&amp;'Stats and distribution'!$B30)</f>
        <v>0</v>
      </c>
      <c r="E30" s="65">
        <f>COUNTIFS('CM Collision precursor'!$G$48:$Q$48,"&gt;"&amp;'Stats and distribution'!$B29,'CM Collision precursor'!$G$48:$Q$48,"&lt;="&amp;'Stats and distribution'!$B30)</f>
        <v>0</v>
      </c>
      <c r="F30" s="65">
        <f>COUNTIFS('CM Derailment'!$H$69:$L$69,"&gt;"&amp;'Stats and distribution'!$B29,'CM Derailment'!$H$69:$L$69,"&lt;="&amp;'Stats and distribution'!$B30)</f>
        <v>0</v>
      </c>
      <c r="G30" s="65" t="e">
        <f>COUNTIFS(#REF!,"&gt;"&amp;'Stats and distribution'!$B29,#REF!,"&lt;="&amp;'Stats and distribution'!$B30)</f>
        <v>#REF!</v>
      </c>
      <c r="H30" s="65">
        <f>COUNTIFS('CM Loss of containment'!$I$70:$J$70,"&gt;"&amp;'Stats and distribution'!$B29,'CM Loss of containment'!$I$70:$J$70,"&lt;="&amp;'Stats and distribution'!$B30)</f>
        <v>0</v>
      </c>
      <c r="I30" s="65">
        <f>COUNTIFS('CM Loss of contain Pre'!$I$45:$O$45,"&gt;"&amp;'Stats and distribution'!$B29,'CM Loss of contain Pre'!$I$45:$O$45,"&lt;="&amp;'Stats and distribution'!$B30)</f>
        <v>0</v>
      </c>
      <c r="J30" s="65">
        <f>COUNTIFS('CM Fire'!$I$73:$R$73,"&gt;"&amp;'Stats and distribution'!$B29,'CM Fire'!$I$73:$R$73,"&lt;="&amp;'Stats and distribution'!$B30)</f>
        <v>0</v>
      </c>
    </row>
    <row r="31" spans="1:10" x14ac:dyDescent="0.25">
      <c r="B31" s="66">
        <v>10</v>
      </c>
      <c r="C31" s="65">
        <f>COUNTIFS('CM Admin error'!$I$49:$AZ$49,"&gt;"&amp;'Stats and distribution'!B30,'CM Admin error'!$I$49:$AZ$49,"&lt;="&amp;'Stats and distribution'!B31)</f>
        <v>0</v>
      </c>
      <c r="D31" s="65">
        <f>COUNTIFS('CM Collision '!$I$70,"&gt;"&amp;'Stats and distribution'!$B30,'CM Collision '!$I$70,"&lt;="&amp;'Stats and distribution'!$B31)</f>
        <v>0</v>
      </c>
      <c r="E31" s="65">
        <f>COUNTIFS('CM Collision precursor'!$G$48:$Q$48,"&gt;"&amp;'Stats and distribution'!$B30,'CM Collision precursor'!$G$48:$Q$48,"&lt;="&amp;'Stats and distribution'!$B31)</f>
        <v>1</v>
      </c>
      <c r="F31" s="65">
        <f>COUNTIFS('CM Derailment'!$H$69:$L$69,"&gt;"&amp;'Stats and distribution'!$B30,'CM Derailment'!$H$69:$L$69,"&lt;="&amp;'Stats and distribution'!$B31)</f>
        <v>0</v>
      </c>
      <c r="G31" s="65" t="e">
        <f>COUNTIFS(#REF!,"&gt;"&amp;'Stats and distribution'!$B30,#REF!,"&lt;="&amp;'Stats and distribution'!$B31)</f>
        <v>#REF!</v>
      </c>
      <c r="H31" s="65">
        <f>COUNTIFS('CM Loss of containment'!$I$70:$J$70,"&gt;"&amp;'Stats and distribution'!$B30,'CM Loss of containment'!$I$70:$J$70,"&lt;="&amp;'Stats and distribution'!$B31)</f>
        <v>0</v>
      </c>
      <c r="I31" s="65">
        <f>COUNTIFS('CM Loss of contain Pre'!$I$45:$O$45,"&gt;"&amp;'Stats and distribution'!$B30,'CM Loss of contain Pre'!$I$45:$O$45,"&lt;="&amp;'Stats and distribution'!$B31)</f>
        <v>0</v>
      </c>
      <c r="J31" s="65">
        <f>COUNTIFS('CM Fire'!$I$73:$R$73,"&gt;"&amp;'Stats and distribution'!$B30,'CM Fire'!$I$73:$R$73,"&lt;="&amp;'Stats and distribution'!$B31)</f>
        <v>0</v>
      </c>
    </row>
    <row r="32" spans="1:10" x14ac:dyDescent="0.25">
      <c r="B32" s="66">
        <v>11</v>
      </c>
      <c r="C32" s="65">
        <f>COUNTIFS('CM Admin error'!$I$49:$AZ$49,"&gt;"&amp;'Stats and distribution'!B31,'CM Admin error'!$I$49:$AZ$49,"&lt;="&amp;'Stats and distribution'!B32)</f>
        <v>0</v>
      </c>
      <c r="D32" s="65">
        <f>COUNTIFS('CM Collision '!$I$70,"&gt;"&amp;'Stats and distribution'!$B31,'CM Collision '!$I$70,"&lt;="&amp;'Stats and distribution'!$B32)</f>
        <v>0</v>
      </c>
      <c r="E32" s="65">
        <f>COUNTIFS('CM Collision precursor'!$G$48:$Q$48,"&gt;"&amp;'Stats and distribution'!$B31,'CM Collision precursor'!$G$48:$Q$48,"&lt;="&amp;'Stats and distribution'!$B32)</f>
        <v>4</v>
      </c>
      <c r="F32" s="65">
        <f>COUNTIFS('CM Derailment'!$H$69:$L$69,"&gt;"&amp;'Stats and distribution'!$B31,'CM Derailment'!$H$69:$L$69,"&lt;="&amp;'Stats and distribution'!$B32)</f>
        <v>0</v>
      </c>
      <c r="G32" s="65" t="e">
        <f>COUNTIFS(#REF!,"&gt;"&amp;'Stats and distribution'!$B31,#REF!,"&lt;="&amp;'Stats and distribution'!$B32)</f>
        <v>#REF!</v>
      </c>
      <c r="H32" s="65">
        <f>COUNTIFS('CM Loss of containment'!$I$70:$J$70,"&gt;"&amp;'Stats and distribution'!$B31,'CM Loss of containment'!$I$70:$J$70,"&lt;="&amp;'Stats and distribution'!$B32)</f>
        <v>0</v>
      </c>
      <c r="I32" s="65">
        <f>COUNTIFS('CM Loss of contain Pre'!$I$45:$O$45,"&gt;"&amp;'Stats and distribution'!$B31,'CM Loss of contain Pre'!$I$45:$O$45,"&lt;="&amp;'Stats and distribution'!$B32)</f>
        <v>2</v>
      </c>
      <c r="J32" s="65">
        <f>COUNTIFS('CM Fire'!$I$73:$R$73,"&gt;"&amp;'Stats and distribution'!$B31,'CM Fire'!$I$73:$R$73,"&lt;="&amp;'Stats and distribution'!$B32)</f>
        <v>0</v>
      </c>
    </row>
    <row r="33" spans="2:10" x14ac:dyDescent="0.25">
      <c r="B33" s="66">
        <v>12</v>
      </c>
      <c r="C33" s="65">
        <f>COUNTIFS('CM Admin error'!$I$49:$AZ$49,"&gt;"&amp;'Stats and distribution'!B32,'CM Admin error'!$I$49:$AZ$49,"&lt;="&amp;'Stats and distribution'!B33)</f>
        <v>0</v>
      </c>
      <c r="D33" s="65">
        <f>COUNTIFS('CM Collision '!$I$70,"&gt;"&amp;'Stats and distribution'!$B32,'CM Collision '!$I$70,"&lt;="&amp;'Stats and distribution'!$B33)</f>
        <v>0</v>
      </c>
      <c r="E33" s="65">
        <f>COUNTIFS('CM Collision precursor'!$G$48:$Q$48,"&gt;"&amp;'Stats and distribution'!$B32,'CM Collision precursor'!$G$48:$Q$48,"&lt;="&amp;'Stats and distribution'!$B33)</f>
        <v>0</v>
      </c>
      <c r="F33" s="65">
        <f>COUNTIFS('CM Derailment'!$H$69:$L$69,"&gt;"&amp;'Stats and distribution'!$B32,'CM Derailment'!$H$69:$L$69,"&lt;="&amp;'Stats and distribution'!$B33)</f>
        <v>0</v>
      </c>
      <c r="G33" s="65" t="e">
        <f>COUNTIFS(#REF!,"&gt;"&amp;'Stats and distribution'!$B32,#REF!,"&lt;="&amp;'Stats and distribution'!$B33)</f>
        <v>#REF!</v>
      </c>
      <c r="H33" s="65">
        <f>COUNTIFS('CM Loss of containment'!$I$70:$J$70,"&gt;"&amp;'Stats and distribution'!$B32,'CM Loss of containment'!$I$70:$J$70,"&lt;="&amp;'Stats and distribution'!$B33)</f>
        <v>0</v>
      </c>
      <c r="I33" s="65">
        <f>COUNTIFS('CM Loss of contain Pre'!$I$45:$O$45,"&gt;"&amp;'Stats and distribution'!$B32,'CM Loss of contain Pre'!$I$45:$O$45,"&lt;="&amp;'Stats and distribution'!$B33)</f>
        <v>1</v>
      </c>
      <c r="J33" s="65">
        <f>COUNTIFS('CM Fire'!$I$73:$R$73,"&gt;"&amp;'Stats and distribution'!$B32,'CM Fire'!$I$73:$R$73,"&lt;="&amp;'Stats and distribution'!$B33)</f>
        <v>0</v>
      </c>
    </row>
    <row r="34" spans="2:10" x14ac:dyDescent="0.25">
      <c r="B34" s="66">
        <v>13</v>
      </c>
      <c r="C34" s="65">
        <f>COUNTIFS('CM Admin error'!$I$49:$AZ$49,"&gt;"&amp;'Stats and distribution'!B33,'CM Admin error'!$I$49:$AZ$49,"&lt;="&amp;'Stats and distribution'!B34)</f>
        <v>0</v>
      </c>
      <c r="D34" s="65">
        <f>COUNTIFS('CM Collision '!$I$70,"&gt;"&amp;'Stats and distribution'!$B33,'CM Collision '!$I$70,"&lt;="&amp;'Stats and distribution'!$B34)</f>
        <v>0</v>
      </c>
      <c r="E34" s="65">
        <f>COUNTIFS('CM Collision precursor'!$G$48:$Q$48,"&gt;"&amp;'Stats and distribution'!$B33,'CM Collision precursor'!$G$48:$Q$48,"&lt;="&amp;'Stats and distribution'!$B34)</f>
        <v>0</v>
      </c>
      <c r="F34" s="65">
        <f>COUNTIFS('CM Derailment'!$H$69:$L$69,"&gt;"&amp;'Stats and distribution'!$B33,'CM Derailment'!$H$69:$L$69,"&lt;="&amp;'Stats and distribution'!$B34)</f>
        <v>0</v>
      </c>
      <c r="G34" s="65" t="e">
        <f>COUNTIFS(#REF!,"&gt;"&amp;'Stats and distribution'!$B33,#REF!,"&lt;="&amp;'Stats and distribution'!$B34)</f>
        <v>#REF!</v>
      </c>
      <c r="H34" s="65">
        <f>COUNTIFS('CM Loss of containment'!$I$70:$J$70,"&gt;"&amp;'Stats and distribution'!$B33,'CM Loss of containment'!$I$70:$J$70,"&lt;="&amp;'Stats and distribution'!$B34)</f>
        <v>0</v>
      </c>
      <c r="I34" s="65">
        <f>COUNTIFS('CM Loss of contain Pre'!$I$45:$O$45,"&gt;"&amp;'Stats and distribution'!$B33,'CM Loss of contain Pre'!$I$45:$O$45,"&lt;="&amp;'Stats and distribution'!$B34)</f>
        <v>0</v>
      </c>
      <c r="J34" s="65">
        <f>COUNTIFS('CM Fire'!$I$73:$R$73,"&gt;"&amp;'Stats and distribution'!$B33,'CM Fire'!$I$73:$R$73,"&lt;="&amp;'Stats and distribution'!$B34)</f>
        <v>0</v>
      </c>
    </row>
    <row r="35" spans="2:10" x14ac:dyDescent="0.25">
      <c r="B35" s="66">
        <v>14</v>
      </c>
      <c r="C35" s="65">
        <f>COUNTIFS('CM Admin error'!$I$49:$AZ$49,"&gt;"&amp;'Stats and distribution'!B34,'CM Admin error'!$I$49:$AZ$49,"&lt;="&amp;'Stats and distribution'!B35)</f>
        <v>0</v>
      </c>
      <c r="D35" s="65">
        <f>COUNTIFS('CM Collision '!$I$70,"&gt;"&amp;'Stats and distribution'!$B34,'CM Collision '!$I$70,"&lt;="&amp;'Stats and distribution'!$B35)</f>
        <v>0</v>
      </c>
      <c r="E35" s="65">
        <f>COUNTIFS('CM Collision precursor'!$G$48:$Q$48,"&gt;"&amp;'Stats and distribution'!$B34,'CM Collision precursor'!$G$48:$Q$48,"&lt;="&amp;'Stats and distribution'!$B35)</f>
        <v>1</v>
      </c>
      <c r="F35" s="65">
        <f>COUNTIFS('CM Derailment'!$H$69:$L$69,"&gt;"&amp;'Stats and distribution'!$B34,'CM Derailment'!$H$69:$L$69,"&lt;="&amp;'Stats and distribution'!$B35)</f>
        <v>1</v>
      </c>
      <c r="G35" s="65" t="e">
        <f>COUNTIFS(#REF!,"&gt;"&amp;'Stats and distribution'!$B34,#REF!,"&lt;="&amp;'Stats and distribution'!$B35)</f>
        <v>#REF!</v>
      </c>
      <c r="H35" s="65">
        <f>COUNTIFS('CM Loss of containment'!$I$70:$J$70,"&gt;"&amp;'Stats and distribution'!$B34,'CM Loss of containment'!$I$70:$J$70,"&lt;="&amp;'Stats and distribution'!$B35)</f>
        <v>0</v>
      </c>
      <c r="I35" s="65">
        <f>COUNTIFS('CM Loss of contain Pre'!$I$45:$O$45,"&gt;"&amp;'Stats and distribution'!$B34,'CM Loss of contain Pre'!$I$45:$O$45,"&lt;="&amp;'Stats and distribution'!$B35)</f>
        <v>1</v>
      </c>
      <c r="J35" s="65">
        <f>COUNTIFS('CM Fire'!$I$73:$R$73,"&gt;"&amp;'Stats and distribution'!$B34,'CM Fire'!$I$73:$R$73,"&lt;="&amp;'Stats and distribution'!$B35)</f>
        <v>0</v>
      </c>
    </row>
    <row r="36" spans="2:10" x14ac:dyDescent="0.25">
      <c r="B36" s="66">
        <v>15</v>
      </c>
      <c r="C36" s="65">
        <f>COUNTIFS('CM Admin error'!$I$49:$AZ$49,"&gt;"&amp;'Stats and distribution'!B35,'CM Admin error'!$I$49:$AZ$49,"&lt;="&amp;'Stats and distribution'!B36)</f>
        <v>0</v>
      </c>
      <c r="D36" s="65">
        <f>COUNTIFS('CM Collision '!$I$70,"&gt;"&amp;'Stats and distribution'!$B35,'CM Collision '!$I$70,"&lt;="&amp;'Stats and distribution'!$B36)</f>
        <v>0</v>
      </c>
      <c r="E36" s="65">
        <f>COUNTIFS('CM Collision precursor'!$G$48:$Q$48,"&gt;"&amp;'Stats and distribution'!$B35,'CM Collision precursor'!$G$48:$Q$48,"&lt;="&amp;'Stats and distribution'!$B36)</f>
        <v>0</v>
      </c>
      <c r="F36" s="65">
        <f>COUNTIFS('CM Derailment'!$H$69:$L$69,"&gt;"&amp;'Stats and distribution'!$B35,'CM Derailment'!$H$69:$L$69,"&lt;="&amp;'Stats and distribution'!$B36)</f>
        <v>2</v>
      </c>
      <c r="G36" s="65" t="e">
        <f>COUNTIFS(#REF!,"&gt;"&amp;'Stats and distribution'!$B35,#REF!,"&lt;="&amp;'Stats and distribution'!$B36)</f>
        <v>#REF!</v>
      </c>
      <c r="H36" s="65">
        <f>COUNTIFS('CM Loss of containment'!$I$70:$J$70,"&gt;"&amp;'Stats and distribution'!$B35,'CM Loss of containment'!$I$70:$J$70,"&lt;="&amp;'Stats and distribution'!$B36)</f>
        <v>0</v>
      </c>
      <c r="I36" s="65">
        <f>COUNTIFS('CM Loss of contain Pre'!$I$45:$O$45,"&gt;"&amp;'Stats and distribution'!$B35,'CM Loss of contain Pre'!$I$45:$O$45,"&lt;="&amp;'Stats and distribution'!$B36)</f>
        <v>1</v>
      </c>
      <c r="J36" s="65">
        <f>COUNTIFS('CM Fire'!$I$73:$R$73,"&gt;"&amp;'Stats and distribution'!$B35,'CM Fire'!$I$73:$R$73,"&lt;="&amp;'Stats and distribution'!$B36)</f>
        <v>0</v>
      </c>
    </row>
    <row r="37" spans="2:10" x14ac:dyDescent="0.25">
      <c r="B37" s="66">
        <v>16</v>
      </c>
      <c r="C37" s="65">
        <f>COUNTIFS('CM Admin error'!$I$49:$AZ$49,"&gt;"&amp;'Stats and distribution'!B36,'CM Admin error'!$I$49:$AZ$49,"&lt;="&amp;'Stats and distribution'!B37)</f>
        <v>0</v>
      </c>
      <c r="D37" s="65">
        <f>COUNTIFS('CM Collision '!$I$70,"&gt;"&amp;'Stats and distribution'!$B36,'CM Collision '!$I$70,"&lt;="&amp;'Stats and distribution'!$B37)</f>
        <v>0</v>
      </c>
      <c r="E37" s="65">
        <f>COUNTIFS('CM Collision precursor'!$G$48:$Q$48,"&gt;"&amp;'Stats and distribution'!$B36,'CM Collision precursor'!$G$48:$Q$48,"&lt;="&amp;'Stats and distribution'!$B37)</f>
        <v>0</v>
      </c>
      <c r="F37" s="65">
        <f>COUNTIFS('CM Derailment'!$H$69:$L$69,"&gt;"&amp;'Stats and distribution'!$B36,'CM Derailment'!$H$69:$L$69,"&lt;="&amp;'Stats and distribution'!$B37)</f>
        <v>1</v>
      </c>
      <c r="G37" s="65" t="e">
        <f>COUNTIFS(#REF!,"&gt;"&amp;'Stats and distribution'!$B36,#REF!,"&lt;="&amp;'Stats and distribution'!$B37)</f>
        <v>#REF!</v>
      </c>
      <c r="H37" s="65">
        <f>COUNTIFS('CM Loss of containment'!$I$70:$J$70,"&gt;"&amp;'Stats and distribution'!$B36,'CM Loss of containment'!$I$70:$J$70,"&lt;="&amp;'Stats and distribution'!$B37)</f>
        <v>2</v>
      </c>
      <c r="I37" s="65">
        <f>COUNTIFS('CM Loss of contain Pre'!$I$45:$O$45,"&gt;"&amp;'Stats and distribution'!$B36,'CM Loss of contain Pre'!$I$45:$O$45,"&lt;="&amp;'Stats and distribution'!$B37)</f>
        <v>0</v>
      </c>
      <c r="J37" s="65">
        <f>COUNTIFS('CM Fire'!$I$73:$R$73,"&gt;"&amp;'Stats and distribution'!$B36,'CM Fire'!$I$73:$R$73,"&lt;="&amp;'Stats and distribution'!$B37)</f>
        <v>0</v>
      </c>
    </row>
    <row r="38" spans="2:10" x14ac:dyDescent="0.25">
      <c r="B38" s="66">
        <v>17</v>
      </c>
      <c r="C38" s="65">
        <f>COUNTIFS('CM Admin error'!$I$49:$AZ$49,"&gt;"&amp;'Stats and distribution'!B37,'CM Admin error'!$I$49:$AZ$49,"&lt;="&amp;'Stats and distribution'!B38)</f>
        <v>0</v>
      </c>
      <c r="D38" s="65">
        <f>COUNTIFS('CM Collision '!$I$70,"&gt;"&amp;'Stats and distribution'!$B37,'CM Collision '!$I$70,"&lt;="&amp;'Stats and distribution'!$B38)</f>
        <v>0</v>
      </c>
      <c r="E38" s="65">
        <f>COUNTIFS('CM Collision precursor'!$G$48:$Q$48,"&gt;"&amp;'Stats and distribution'!$B37,'CM Collision precursor'!$G$48:$Q$48,"&lt;="&amp;'Stats and distribution'!$B38)</f>
        <v>1</v>
      </c>
      <c r="F38" s="65">
        <f>COUNTIFS('CM Derailment'!$H$69:$L$69,"&gt;"&amp;'Stats and distribution'!$B37,'CM Derailment'!$H$69:$L$69,"&lt;="&amp;'Stats and distribution'!$B38)</f>
        <v>0</v>
      </c>
      <c r="G38" s="65" t="e">
        <f>COUNTIFS(#REF!,"&gt;"&amp;'Stats and distribution'!$B37,#REF!,"&lt;="&amp;'Stats and distribution'!$B38)</f>
        <v>#REF!</v>
      </c>
      <c r="H38" s="65">
        <f>COUNTIFS('CM Loss of containment'!$I$70:$J$70,"&gt;"&amp;'Stats and distribution'!$B37,'CM Loss of containment'!$I$70:$J$70,"&lt;="&amp;'Stats and distribution'!$B38)</f>
        <v>0</v>
      </c>
      <c r="I38" s="65">
        <f>COUNTIFS('CM Loss of contain Pre'!$I$45:$O$45,"&gt;"&amp;'Stats and distribution'!$B37,'CM Loss of contain Pre'!$I$45:$O$45,"&lt;="&amp;'Stats and distribution'!$B38)</f>
        <v>0</v>
      </c>
      <c r="J38" s="65">
        <f>COUNTIFS('CM Fire'!$I$73:$R$73,"&gt;"&amp;'Stats and distribution'!$B37,'CM Fire'!$I$73:$R$73,"&lt;="&amp;'Stats and distribution'!$B38)</f>
        <v>0</v>
      </c>
    </row>
    <row r="39" spans="2:10" x14ac:dyDescent="0.25">
      <c r="B39" s="66">
        <v>18</v>
      </c>
      <c r="C39" s="65">
        <f>COUNTIFS('CM Admin error'!$I$49:$AZ$49,"&gt;"&amp;'Stats and distribution'!B38,'CM Admin error'!$I$49:$AZ$49,"&lt;="&amp;'Stats and distribution'!B39)</f>
        <v>0</v>
      </c>
      <c r="D39" s="65">
        <f>COUNTIFS('CM Collision '!$I$70,"&gt;"&amp;'Stats and distribution'!$B38,'CM Collision '!$I$70,"&lt;="&amp;'Stats and distribution'!$B39)</f>
        <v>0</v>
      </c>
      <c r="E39" s="65">
        <f>COUNTIFS('CM Collision precursor'!$G$48:$Q$48,"&gt;"&amp;'Stats and distribution'!$B38,'CM Collision precursor'!$G$48:$Q$48,"&lt;="&amp;'Stats and distribution'!$B39)</f>
        <v>0</v>
      </c>
      <c r="F39" s="65">
        <f>COUNTIFS('CM Derailment'!$H$69:$L$69,"&gt;"&amp;'Stats and distribution'!$B38,'CM Derailment'!$H$69:$L$69,"&lt;="&amp;'Stats and distribution'!$B39)</f>
        <v>0</v>
      </c>
      <c r="G39" s="65" t="e">
        <f>COUNTIFS(#REF!,"&gt;"&amp;'Stats and distribution'!$B38,#REF!,"&lt;="&amp;'Stats and distribution'!$B39)</f>
        <v>#REF!</v>
      </c>
      <c r="H39" s="65">
        <f>COUNTIFS('CM Loss of containment'!$I$70:$J$70,"&gt;"&amp;'Stats and distribution'!$B38,'CM Loss of containment'!$I$70:$J$70,"&lt;="&amp;'Stats and distribution'!$B39)</f>
        <v>0</v>
      </c>
      <c r="I39" s="65">
        <f>COUNTIFS('CM Loss of contain Pre'!$I$45:$O$45,"&gt;"&amp;'Stats and distribution'!$B38,'CM Loss of contain Pre'!$I$45:$O$45,"&lt;="&amp;'Stats and distribution'!$B39)</f>
        <v>1</v>
      </c>
      <c r="J39" s="65">
        <f>COUNTIFS('CM Fire'!$I$73:$R$73,"&gt;"&amp;'Stats and distribution'!$B38,'CM Fire'!$I$73:$R$73,"&lt;="&amp;'Stats and distribution'!$B39)</f>
        <v>0</v>
      </c>
    </row>
    <row r="40" spans="2:10" x14ac:dyDescent="0.25">
      <c r="B40" s="66">
        <v>19</v>
      </c>
      <c r="C40" s="65">
        <f>COUNTIFS('CM Admin error'!$I$49:$AZ$49,"&gt;"&amp;'Stats and distribution'!B39,'CM Admin error'!$I$49:$AZ$49,"&lt;="&amp;'Stats and distribution'!B40)</f>
        <v>0</v>
      </c>
      <c r="D40" s="65">
        <f>COUNTIFS('CM Collision '!$I$70,"&gt;"&amp;'Stats and distribution'!$B39,'CM Collision '!$I$70,"&lt;="&amp;'Stats and distribution'!$B40)</f>
        <v>1</v>
      </c>
      <c r="E40" s="65">
        <f>COUNTIFS('CM Collision precursor'!$G$48:$Q$48,"&gt;"&amp;'Stats and distribution'!$B39,'CM Collision precursor'!$G$48:$Q$48,"&lt;="&amp;'Stats and distribution'!$B40)</f>
        <v>2</v>
      </c>
      <c r="F40" s="65">
        <f>COUNTIFS('CM Derailment'!$H$69:$L$69,"&gt;"&amp;'Stats and distribution'!$B39,'CM Derailment'!$H$69:$L$69,"&lt;="&amp;'Stats and distribution'!$B40)</f>
        <v>1</v>
      </c>
      <c r="G40" s="65" t="e">
        <f>COUNTIFS(#REF!,"&gt;"&amp;'Stats and distribution'!$B39,#REF!,"&lt;="&amp;'Stats and distribution'!$B40)</f>
        <v>#REF!</v>
      </c>
      <c r="H40" s="65">
        <f>COUNTIFS('CM Loss of containment'!$I$70:$J$70,"&gt;"&amp;'Stats and distribution'!$B39,'CM Loss of containment'!$I$70:$J$70,"&lt;="&amp;'Stats and distribution'!$B40)</f>
        <v>0</v>
      </c>
      <c r="I40" s="65">
        <f>COUNTIFS('CM Loss of contain Pre'!$I$45:$O$45,"&gt;"&amp;'Stats and distribution'!$B39,'CM Loss of contain Pre'!$I$45:$O$45,"&lt;="&amp;'Stats and distribution'!$B40)</f>
        <v>0</v>
      </c>
      <c r="J40" s="65">
        <f>COUNTIFS('CM Fire'!$I$73:$R$73,"&gt;"&amp;'Stats and distribution'!$B39,'CM Fire'!$I$73:$R$73,"&lt;="&amp;'Stats and distribution'!$B40)</f>
        <v>0</v>
      </c>
    </row>
    <row r="41" spans="2:10" x14ac:dyDescent="0.25">
      <c r="B41" s="66">
        <v>20</v>
      </c>
      <c r="C41" s="65">
        <f>COUNTIFS('CM Admin error'!$I$49:$AZ$49,"&gt;"&amp;'Stats and distribution'!B40,'CM Admin error'!$I$49:$AZ$49,"&lt;="&amp;'Stats and distribution'!B41)</f>
        <v>0</v>
      </c>
      <c r="D41" s="65">
        <f>COUNTIFS('CM Collision '!$I$70,"&gt;"&amp;'Stats and distribution'!$B40,'CM Collision '!$I$70,"&lt;="&amp;'Stats and distribution'!$B41)</f>
        <v>0</v>
      </c>
      <c r="E41" s="65">
        <f>COUNTIFS('CM Collision precursor'!$G$48:$Q$48,"&gt;"&amp;'Stats and distribution'!$B40,'CM Collision precursor'!$G$48:$Q$48,"&lt;="&amp;'Stats and distribution'!$B41)</f>
        <v>1</v>
      </c>
      <c r="F41" s="65">
        <f>COUNTIFS('CM Derailment'!$H$69:$L$69,"&gt;"&amp;'Stats and distribution'!$B40,'CM Derailment'!$H$69:$L$69,"&lt;="&amp;'Stats and distribution'!$B41)</f>
        <v>0</v>
      </c>
      <c r="G41" s="65" t="e">
        <f>COUNTIFS(#REF!,"&gt;"&amp;'Stats and distribution'!$B40,#REF!,"&lt;="&amp;'Stats and distribution'!$B41)</f>
        <v>#REF!</v>
      </c>
      <c r="H41" s="65">
        <f>COUNTIFS('CM Loss of containment'!$I$70:$J$70,"&gt;"&amp;'Stats and distribution'!$B40,'CM Loss of containment'!$I$70:$J$70,"&lt;="&amp;'Stats and distribution'!$B41)</f>
        <v>0</v>
      </c>
      <c r="I41" s="65">
        <f>COUNTIFS('CM Loss of contain Pre'!$I$45:$O$45,"&gt;"&amp;'Stats and distribution'!$B40,'CM Loss of contain Pre'!$I$45:$O$45,"&lt;="&amp;'Stats and distribution'!$B41)</f>
        <v>0</v>
      </c>
      <c r="J41" s="65">
        <f>COUNTIFS('CM Fire'!$I$73:$R$73,"&gt;"&amp;'Stats and distribution'!$B40,'CM Fire'!$I$73:$R$73,"&lt;="&amp;'Stats and distribution'!$B41)</f>
        <v>0</v>
      </c>
    </row>
    <row r="42" spans="2:10" x14ac:dyDescent="0.25">
      <c r="B42" s="66">
        <v>21</v>
      </c>
      <c r="C42" s="65">
        <f>COUNTIFS('CM Admin error'!$I$49:$AZ$49,"&gt;"&amp;'Stats and distribution'!B41,'CM Admin error'!$I$49:$AZ$49,"&lt;="&amp;'Stats and distribution'!B42)</f>
        <v>0</v>
      </c>
      <c r="D42" s="65">
        <f>COUNTIFS('CM Collision '!$I$70,"&gt;"&amp;'Stats and distribution'!$B41,'CM Collision '!$I$70,"&lt;="&amp;'Stats and distribution'!$B42)</f>
        <v>0</v>
      </c>
      <c r="E42" s="65">
        <f>COUNTIFS('CM Collision precursor'!$G$48:$Q$48,"&gt;"&amp;'Stats and distribution'!$B41,'CM Collision precursor'!$G$48:$Q$48,"&lt;="&amp;'Stats and distribution'!$B42)</f>
        <v>0</v>
      </c>
      <c r="F42" s="65">
        <f>COUNTIFS('CM Derailment'!$H$69:$L$69,"&gt;"&amp;'Stats and distribution'!$B41,'CM Derailment'!$H$69:$L$69,"&lt;="&amp;'Stats and distribution'!$B42)</f>
        <v>0</v>
      </c>
      <c r="G42" s="65" t="e">
        <f>COUNTIFS(#REF!,"&gt;"&amp;'Stats and distribution'!$B41,#REF!,"&lt;="&amp;'Stats and distribution'!$B42)</f>
        <v>#REF!</v>
      </c>
      <c r="H42" s="65">
        <f>COUNTIFS('CM Loss of containment'!$I$70:$J$70,"&gt;"&amp;'Stats and distribution'!$B41,'CM Loss of containment'!$I$70:$J$70,"&lt;="&amp;'Stats and distribution'!$B42)</f>
        <v>0</v>
      </c>
      <c r="I42" s="65">
        <f>COUNTIFS('CM Loss of contain Pre'!$I$45:$O$45,"&gt;"&amp;'Stats and distribution'!$B41,'CM Loss of contain Pre'!$I$45:$O$45,"&lt;="&amp;'Stats and distribution'!$B42)</f>
        <v>0</v>
      </c>
      <c r="J42" s="65">
        <f>COUNTIFS('CM Fire'!$I$73:$R$73,"&gt;"&amp;'Stats and distribution'!$B41,'CM Fire'!$I$73:$R$73,"&lt;="&amp;'Stats and distribution'!$B42)</f>
        <v>0</v>
      </c>
    </row>
    <row r="43" spans="2:10" x14ac:dyDescent="0.25">
      <c r="B43" s="66">
        <v>22</v>
      </c>
      <c r="C43" s="65">
        <f>COUNTIFS('CM Admin error'!$I$49:$AZ$49,"&gt;"&amp;'Stats and distribution'!B42,'CM Admin error'!$I$49:$AZ$49,"&lt;="&amp;'Stats and distribution'!B43)</f>
        <v>0</v>
      </c>
      <c r="D43" s="65">
        <f>COUNTIFS('CM Collision '!$I$70,"&gt;"&amp;'Stats and distribution'!$B42,'CM Collision '!$I$70,"&lt;="&amp;'Stats and distribution'!$B43)</f>
        <v>0</v>
      </c>
      <c r="E43" s="65">
        <f>COUNTIFS('CM Collision precursor'!$G$48:$Q$48,"&gt;"&amp;'Stats and distribution'!$B42,'CM Collision precursor'!$G$48:$Q$48,"&lt;="&amp;'Stats and distribution'!$B43)</f>
        <v>0</v>
      </c>
      <c r="F43" s="65">
        <f>COUNTIFS('CM Derailment'!$H$69:$L$69,"&gt;"&amp;'Stats and distribution'!$B42,'CM Derailment'!$H$69:$L$69,"&lt;="&amp;'Stats and distribution'!$B43)</f>
        <v>0</v>
      </c>
      <c r="G43" s="65" t="e">
        <f>COUNTIFS(#REF!,"&gt;"&amp;'Stats and distribution'!$B42,#REF!,"&lt;="&amp;'Stats and distribution'!$B43)</f>
        <v>#REF!</v>
      </c>
      <c r="H43" s="65">
        <f>COUNTIFS('CM Loss of containment'!$I$70:$J$70,"&gt;"&amp;'Stats and distribution'!$B42,'CM Loss of containment'!$I$70:$J$70,"&lt;="&amp;'Stats and distribution'!$B43)</f>
        <v>0</v>
      </c>
      <c r="I43" s="65">
        <f>COUNTIFS('CM Loss of contain Pre'!$I$45:$O$45,"&gt;"&amp;'Stats and distribution'!$B42,'CM Loss of contain Pre'!$I$45:$O$45,"&lt;="&amp;'Stats and distribution'!$B43)</f>
        <v>0</v>
      </c>
      <c r="J43" s="65">
        <f>COUNTIFS('CM Fire'!$I$73:$R$73,"&gt;"&amp;'Stats and distribution'!$B42,'CM Fire'!$I$73:$R$73,"&lt;="&amp;'Stats and distribution'!$B43)</f>
        <v>0</v>
      </c>
    </row>
    <row r="44" spans="2:10" x14ac:dyDescent="0.25">
      <c r="B44" s="66">
        <v>23</v>
      </c>
      <c r="C44" s="65">
        <f>COUNTIFS('CM Admin error'!$I$49:$AZ$49,"&gt;"&amp;'Stats and distribution'!B43,'CM Admin error'!$I$49:$AZ$49,"&lt;="&amp;'Stats and distribution'!B44)</f>
        <v>0</v>
      </c>
      <c r="D44" s="65">
        <f>COUNTIFS('CM Collision '!$I$70,"&gt;"&amp;'Stats and distribution'!$B43,'CM Collision '!$I$70,"&lt;="&amp;'Stats and distribution'!$B44)</f>
        <v>0</v>
      </c>
      <c r="E44" s="65">
        <f>COUNTIFS('CM Collision precursor'!$G$48:$Q$48,"&gt;"&amp;'Stats and distribution'!$B43,'CM Collision precursor'!$G$48:$Q$48,"&lt;="&amp;'Stats and distribution'!$B44)</f>
        <v>0</v>
      </c>
      <c r="F44" s="65">
        <f>COUNTIFS('CM Derailment'!$H$69:$L$69,"&gt;"&amp;'Stats and distribution'!$B43,'CM Derailment'!$H$69:$L$69,"&lt;="&amp;'Stats and distribution'!$B44)</f>
        <v>0</v>
      </c>
      <c r="G44" s="65" t="e">
        <f>COUNTIFS(#REF!,"&gt;"&amp;'Stats and distribution'!$B43,#REF!,"&lt;="&amp;'Stats and distribution'!$B44)</f>
        <v>#REF!</v>
      </c>
      <c r="H44" s="65">
        <f>COUNTIFS('CM Loss of containment'!$I$70:$J$70,"&gt;"&amp;'Stats and distribution'!$B43,'CM Loss of containment'!$I$70:$J$70,"&lt;="&amp;'Stats and distribution'!$B44)</f>
        <v>0</v>
      </c>
      <c r="I44" s="65">
        <f>COUNTIFS('CM Loss of contain Pre'!$I$45:$O$45,"&gt;"&amp;'Stats and distribution'!$B43,'CM Loss of contain Pre'!$I$45:$O$45,"&lt;="&amp;'Stats and distribution'!$B44)</f>
        <v>0</v>
      </c>
      <c r="J44" s="65">
        <f>COUNTIFS('CM Fire'!$I$73:$R$73,"&gt;"&amp;'Stats and distribution'!$B43,'CM Fire'!$I$73:$R$73,"&lt;="&amp;'Stats and distribution'!$B44)</f>
        <v>0</v>
      </c>
    </row>
    <row r="45" spans="2:10" x14ac:dyDescent="0.25">
      <c r="B45" s="66">
        <v>24</v>
      </c>
      <c r="C45" s="65">
        <f>COUNTIFS('CM Admin error'!$I$49:$AZ$49,"&gt;"&amp;'Stats and distribution'!B44,'CM Admin error'!$I$49:$AZ$49,"&lt;="&amp;'Stats and distribution'!B45)</f>
        <v>0</v>
      </c>
      <c r="D45" s="65">
        <f>COUNTIFS('CM Collision '!$I$70,"&gt;"&amp;'Stats and distribution'!$B44,'CM Collision '!$I$70,"&lt;="&amp;'Stats and distribution'!$B45)</f>
        <v>0</v>
      </c>
      <c r="E45" s="65">
        <f>COUNTIFS('CM Collision precursor'!$G$48:$Q$48,"&gt;"&amp;'Stats and distribution'!$B44,'CM Collision precursor'!$G$48:$Q$48,"&lt;="&amp;'Stats and distribution'!$B45)</f>
        <v>0</v>
      </c>
      <c r="F45" s="65">
        <f>COUNTIFS('CM Derailment'!$H$69:$L$69,"&gt;"&amp;'Stats and distribution'!$B44,'CM Derailment'!$H$69:$L$69,"&lt;="&amp;'Stats and distribution'!$B45)</f>
        <v>0</v>
      </c>
      <c r="G45" s="65" t="e">
        <f>COUNTIFS(#REF!,"&gt;"&amp;'Stats and distribution'!$B44,#REF!,"&lt;="&amp;'Stats and distribution'!$B45)</f>
        <v>#REF!</v>
      </c>
      <c r="H45" s="65">
        <f>COUNTIFS('CM Loss of containment'!$I$70:$J$70,"&gt;"&amp;'Stats and distribution'!$B44,'CM Loss of containment'!$I$70:$J$70,"&lt;="&amp;'Stats and distribution'!$B45)</f>
        <v>0</v>
      </c>
      <c r="I45" s="65">
        <f>COUNTIFS('CM Loss of contain Pre'!$I$45:$O$45,"&gt;"&amp;'Stats and distribution'!$B44,'CM Loss of contain Pre'!$I$45:$O$45,"&lt;="&amp;'Stats and distribution'!$B45)</f>
        <v>0</v>
      </c>
      <c r="J45" s="65">
        <f>COUNTIFS('CM Fire'!$I$73:$R$73,"&gt;"&amp;'Stats and distribution'!$B44,'CM Fire'!$I$73:$R$73,"&lt;="&amp;'Stats and distribution'!$B45)</f>
        <v>0</v>
      </c>
    </row>
    <row r="46" spans="2:10" x14ac:dyDescent="0.25">
      <c r="B46" s="66">
        <v>25</v>
      </c>
      <c r="C46" s="65">
        <f>COUNTIFS('CM Admin error'!$I$49:$AZ$49,"&gt;"&amp;'Stats and distribution'!B45,'CM Admin error'!$I$49:$AZ$49,"&lt;="&amp;'Stats and distribution'!B46)</f>
        <v>0</v>
      </c>
      <c r="D46" s="65">
        <f>COUNTIFS('CM Collision '!$I$70,"&gt;"&amp;'Stats and distribution'!$B45,'CM Collision '!$I$70,"&lt;="&amp;'Stats and distribution'!$B46)</f>
        <v>0</v>
      </c>
      <c r="E46" s="65">
        <f>COUNTIFS('CM Collision precursor'!$G$48:$Q$48,"&gt;"&amp;'Stats and distribution'!$B45,'CM Collision precursor'!$G$48:$Q$48,"&lt;="&amp;'Stats and distribution'!$B46)</f>
        <v>0</v>
      </c>
      <c r="F46" s="65">
        <f>COUNTIFS('CM Derailment'!$H$69:$L$69,"&gt;"&amp;'Stats and distribution'!$B45,'CM Derailment'!$H$69:$L$69,"&lt;="&amp;'Stats and distribution'!$B46)</f>
        <v>0</v>
      </c>
      <c r="G46" s="65" t="e">
        <f>COUNTIFS(#REF!,"&gt;"&amp;'Stats and distribution'!$B45,#REF!,"&lt;="&amp;'Stats and distribution'!$B46)</f>
        <v>#REF!</v>
      </c>
      <c r="H46" s="65">
        <f>COUNTIFS('CM Loss of containment'!$I$70:$J$70,"&gt;"&amp;'Stats and distribution'!$B45,'CM Loss of containment'!$I$70:$J$70,"&lt;="&amp;'Stats and distribution'!$B46)</f>
        <v>0</v>
      </c>
      <c r="I46" s="65">
        <f>COUNTIFS('CM Loss of contain Pre'!$I$45:$O$45,"&gt;"&amp;'Stats and distribution'!$B45,'CM Loss of contain Pre'!$I$45:$O$45,"&lt;="&amp;'Stats and distribution'!$B46)</f>
        <v>0</v>
      </c>
      <c r="J46" s="65">
        <f>COUNTIFS('CM Fire'!$I$73:$R$73,"&gt;"&amp;'Stats and distribution'!$B45,'CM Fire'!$I$73:$R$73,"&lt;="&amp;'Stats and distribution'!$B46)</f>
        <v>0</v>
      </c>
    </row>
    <row r="47" spans="2:10" x14ac:dyDescent="0.25">
      <c r="B47" s="66">
        <v>26</v>
      </c>
      <c r="C47" s="65">
        <f>COUNTIFS('CM Admin error'!$I$49:$AZ$49,"&gt;"&amp;'Stats and distribution'!B46,'CM Admin error'!$I$49:$AZ$49,"&lt;="&amp;'Stats and distribution'!B47)</f>
        <v>0</v>
      </c>
      <c r="D47" s="65">
        <f>COUNTIFS('CM Collision '!$I$70,"&gt;"&amp;'Stats and distribution'!$B46,'CM Collision '!$I$70,"&lt;="&amp;'Stats and distribution'!$B47)</f>
        <v>0</v>
      </c>
      <c r="E47" s="65">
        <f>COUNTIFS('CM Collision precursor'!$G$48:$Q$48,"&gt;"&amp;'Stats and distribution'!$B46,'CM Collision precursor'!$G$48:$Q$48,"&lt;="&amp;'Stats and distribution'!$B47)</f>
        <v>0</v>
      </c>
      <c r="F47" s="65">
        <f>COUNTIFS('CM Derailment'!$H$69:$L$69,"&gt;"&amp;'Stats and distribution'!$B46,'CM Derailment'!$H$69:$L$69,"&lt;="&amp;'Stats and distribution'!$B47)</f>
        <v>0</v>
      </c>
      <c r="G47" s="65" t="e">
        <f>COUNTIFS(#REF!,"&gt;"&amp;'Stats and distribution'!$B46,#REF!,"&lt;="&amp;'Stats and distribution'!$B47)</f>
        <v>#REF!</v>
      </c>
      <c r="H47" s="65">
        <f>COUNTIFS('CM Loss of containment'!$I$70:$J$70,"&gt;"&amp;'Stats and distribution'!$B46,'CM Loss of containment'!$I$70:$J$70,"&lt;="&amp;'Stats and distribution'!$B47)</f>
        <v>0</v>
      </c>
      <c r="I47" s="65">
        <f>COUNTIFS('CM Loss of contain Pre'!$I$45:$O$45,"&gt;"&amp;'Stats and distribution'!$B46,'CM Loss of contain Pre'!$I$45:$O$45,"&lt;="&amp;'Stats and distribution'!$B47)</f>
        <v>0</v>
      </c>
      <c r="J47" s="65">
        <f>COUNTIFS('CM Fire'!$I$73:$R$73,"&gt;"&amp;'Stats and distribution'!$B46,'CM Fire'!$I$73:$R$73,"&lt;="&amp;'Stats and distribution'!$B47)</f>
        <v>0</v>
      </c>
    </row>
    <row r="48" spans="2:10" x14ac:dyDescent="0.25">
      <c r="B48" s="66">
        <v>27</v>
      </c>
      <c r="C48" s="65">
        <f>COUNTIFS('CM Admin error'!$I$49:$AZ$49,"&gt;"&amp;'Stats and distribution'!B47,'CM Admin error'!$I$49:$AZ$49,"&lt;="&amp;'Stats and distribution'!B48)</f>
        <v>0</v>
      </c>
      <c r="D48" s="65">
        <f>COUNTIFS('CM Collision '!$I$70,"&gt;"&amp;'Stats and distribution'!$B47,'CM Collision '!$I$70,"&lt;="&amp;'Stats and distribution'!$B48)</f>
        <v>0</v>
      </c>
      <c r="E48" s="65">
        <f>COUNTIFS('CM Collision precursor'!$G$48:$Q$48,"&gt;"&amp;'Stats and distribution'!$B47,'CM Collision precursor'!$G$48:$Q$48,"&lt;="&amp;'Stats and distribution'!$B48)</f>
        <v>0</v>
      </c>
      <c r="F48" s="65">
        <f>COUNTIFS('CM Derailment'!$H$69:$L$69,"&gt;"&amp;'Stats and distribution'!$B47,'CM Derailment'!$H$69:$L$69,"&lt;="&amp;'Stats and distribution'!$B48)</f>
        <v>0</v>
      </c>
      <c r="G48" s="65" t="e">
        <f>COUNTIFS(#REF!,"&gt;"&amp;'Stats and distribution'!$B47,#REF!,"&lt;="&amp;'Stats and distribution'!$B48)</f>
        <v>#REF!</v>
      </c>
      <c r="H48" s="65">
        <f>COUNTIFS('CM Loss of containment'!$I$70:$J$70,"&gt;"&amp;'Stats and distribution'!$B47,'CM Loss of containment'!$I$70:$J$70,"&lt;="&amp;'Stats and distribution'!$B48)</f>
        <v>0</v>
      </c>
      <c r="I48" s="65">
        <f>COUNTIFS('CM Loss of contain Pre'!$I$45:$O$45,"&gt;"&amp;'Stats and distribution'!$B47,'CM Loss of contain Pre'!$I$45:$O$45,"&lt;="&amp;'Stats and distribution'!$B48)</f>
        <v>0</v>
      </c>
      <c r="J48" s="65">
        <f>COUNTIFS('CM Fire'!$I$73:$R$73,"&gt;"&amp;'Stats and distribution'!$B47,'CM Fire'!$I$73:$R$73,"&lt;="&amp;'Stats and distribution'!$B48)</f>
        <v>0</v>
      </c>
    </row>
    <row r="49" spans="2:10" x14ac:dyDescent="0.25">
      <c r="B49" s="66">
        <v>28</v>
      </c>
      <c r="C49" s="65">
        <f>COUNTIFS('CM Admin error'!$I$49:$AZ$49,"&gt;"&amp;'Stats and distribution'!B48,'CM Admin error'!$I$49:$AZ$49,"&lt;="&amp;'Stats and distribution'!B49)</f>
        <v>0</v>
      </c>
      <c r="D49" s="65">
        <f>COUNTIFS('CM Collision '!$I$70,"&gt;"&amp;'Stats and distribution'!$B48,'CM Collision '!$I$70,"&lt;="&amp;'Stats and distribution'!$B49)</f>
        <v>0</v>
      </c>
      <c r="E49" s="65">
        <f>COUNTIFS('CM Collision precursor'!$G$48:$Q$48,"&gt;"&amp;'Stats and distribution'!$B48,'CM Collision precursor'!$G$48:$Q$48,"&lt;="&amp;'Stats and distribution'!$B49)</f>
        <v>0</v>
      </c>
      <c r="F49" s="65">
        <f>COUNTIFS('CM Derailment'!$H$69:$L$69,"&gt;"&amp;'Stats and distribution'!$B48,'CM Derailment'!$H$69:$L$69,"&lt;="&amp;'Stats and distribution'!$B49)</f>
        <v>0</v>
      </c>
      <c r="G49" s="65" t="e">
        <f>COUNTIFS(#REF!,"&gt;"&amp;'Stats and distribution'!$B48,#REF!,"&lt;="&amp;'Stats and distribution'!$B49)</f>
        <v>#REF!</v>
      </c>
      <c r="H49" s="65">
        <f>COUNTIFS('CM Loss of containment'!$I$70:$J$70,"&gt;"&amp;'Stats and distribution'!$B48,'CM Loss of containment'!$I$70:$J$70,"&lt;="&amp;'Stats and distribution'!$B49)</f>
        <v>0</v>
      </c>
      <c r="I49" s="65">
        <f>COUNTIFS('CM Loss of contain Pre'!$I$45:$O$45,"&gt;"&amp;'Stats and distribution'!$B48,'CM Loss of contain Pre'!$I$45:$O$45,"&lt;="&amp;'Stats and distribution'!$B49)</f>
        <v>0</v>
      </c>
      <c r="J49" s="65">
        <f>COUNTIFS('CM Fire'!$I$73:$R$73,"&gt;"&amp;'Stats and distribution'!$B48,'CM Fire'!$I$73:$R$73,"&lt;="&amp;'Stats and distribution'!$B49)</f>
        <v>0</v>
      </c>
    </row>
    <row r="50" spans="2:10" x14ac:dyDescent="0.25">
      <c r="B50" s="66">
        <v>29</v>
      </c>
      <c r="C50" s="65">
        <f>COUNTIFS('CM Admin error'!$I$49:$AZ$49,"&gt;"&amp;'Stats and distribution'!B49,'CM Admin error'!$I$49:$AZ$49,"&lt;="&amp;'Stats and distribution'!B50)</f>
        <v>0</v>
      </c>
      <c r="D50" s="65">
        <f>COUNTIFS('CM Collision '!$I$70,"&gt;"&amp;'Stats and distribution'!$B49,'CM Collision '!$I$70,"&lt;="&amp;'Stats and distribution'!$B50)</f>
        <v>0</v>
      </c>
      <c r="E50" s="65">
        <f>COUNTIFS('CM Collision precursor'!$G$48:$Q$48,"&gt;"&amp;'Stats and distribution'!$B49,'CM Collision precursor'!$G$48:$Q$48,"&lt;="&amp;'Stats and distribution'!$B50)</f>
        <v>0</v>
      </c>
      <c r="F50" s="65">
        <f>COUNTIFS('CM Derailment'!$H$69:$L$69,"&gt;"&amp;'Stats and distribution'!$B49,'CM Derailment'!$H$69:$L$69,"&lt;="&amp;'Stats and distribution'!$B50)</f>
        <v>0</v>
      </c>
      <c r="G50" s="65" t="e">
        <f>COUNTIFS(#REF!,"&gt;"&amp;'Stats and distribution'!$B49,#REF!,"&lt;="&amp;'Stats and distribution'!$B50)</f>
        <v>#REF!</v>
      </c>
      <c r="H50" s="65">
        <f>COUNTIFS('CM Loss of containment'!$I$70:$J$70,"&gt;"&amp;'Stats and distribution'!$B49,'CM Loss of containment'!$I$70:$J$70,"&lt;="&amp;'Stats and distribution'!$B50)</f>
        <v>0</v>
      </c>
      <c r="I50" s="65">
        <f>COUNTIFS('CM Loss of contain Pre'!$I$45:$O$45,"&gt;"&amp;'Stats and distribution'!$B49,'CM Loss of contain Pre'!$I$45:$O$45,"&lt;="&amp;'Stats and distribution'!$B50)</f>
        <v>0</v>
      </c>
      <c r="J50" s="65">
        <f>COUNTIFS('CM Fire'!$I$73:$R$73,"&gt;"&amp;'Stats and distribution'!$B49,'CM Fire'!$I$73:$R$73,"&lt;="&amp;'Stats and distribution'!$B50)</f>
        <v>0</v>
      </c>
    </row>
    <row r="51" spans="2:10" x14ac:dyDescent="0.25">
      <c r="B51" s="66">
        <v>30</v>
      </c>
      <c r="C51" s="65">
        <f>COUNTIFS('CM Admin error'!$I$49:$AZ$49,"&gt;"&amp;'Stats and distribution'!B50,'CM Admin error'!$I$49:$AZ$49,"&lt;="&amp;'Stats and distribution'!B51)</f>
        <v>0</v>
      </c>
      <c r="D51" s="65">
        <f>COUNTIFS('CM Collision '!$I$70,"&gt;"&amp;'Stats and distribution'!$B50,'CM Collision '!$I$70,"&lt;="&amp;'Stats and distribution'!$B51)</f>
        <v>0</v>
      </c>
      <c r="E51" s="65">
        <f>COUNTIFS('CM Collision precursor'!$G$48:$Q$48,"&gt;"&amp;'Stats and distribution'!$B50,'CM Collision precursor'!$G$48:$Q$48,"&lt;="&amp;'Stats and distribution'!$B51)</f>
        <v>0</v>
      </c>
      <c r="F51" s="65">
        <f>COUNTIFS('CM Derailment'!$H$69:$L$69,"&gt;"&amp;'Stats and distribution'!$B50,'CM Derailment'!$H$69:$L$69,"&lt;="&amp;'Stats and distribution'!$B51)</f>
        <v>0</v>
      </c>
      <c r="G51" s="65" t="e">
        <f>COUNTIFS(#REF!,"&gt;"&amp;'Stats and distribution'!$B50,#REF!,"&lt;="&amp;'Stats and distribution'!$B51)</f>
        <v>#REF!</v>
      </c>
      <c r="H51" s="65">
        <f>COUNTIFS('CM Loss of containment'!$I$70:$J$70,"&gt;"&amp;'Stats and distribution'!$B50,'CM Loss of containment'!$I$70:$J$70,"&lt;="&amp;'Stats and distribution'!$B51)</f>
        <v>0</v>
      </c>
      <c r="I51" s="65">
        <f>COUNTIFS('CM Loss of contain Pre'!$I$45:$O$45,"&gt;"&amp;'Stats and distribution'!$B50,'CM Loss of contain Pre'!$I$45:$O$45,"&lt;="&amp;'Stats and distribution'!$B51)</f>
        <v>0</v>
      </c>
      <c r="J51" s="65">
        <f>COUNTIFS('CM Fire'!$I$73:$R$73,"&gt;"&amp;'Stats and distribution'!$B50,'CM Fire'!$I$73:$R$73,"&lt;="&amp;'Stats and distribution'!$B51)</f>
        <v>0</v>
      </c>
    </row>
    <row r="53" spans="2:10" x14ac:dyDescent="0.25">
      <c r="B53" s="1" t="s">
        <v>303</v>
      </c>
      <c r="C53" s="1" t="e">
        <f>SUM(C21:L51)</f>
        <v>#REF!</v>
      </c>
    </row>
    <row r="54" spans="2:10" x14ac:dyDescent="0.25">
      <c r="B54" t="s">
        <v>438</v>
      </c>
      <c r="C54" s="5">
        <f>SUMPRODUCT($B21:$B51,C21:C51)/SUM(C21:C51)</f>
        <v>1.6</v>
      </c>
      <c r="D54" s="5">
        <f t="shared" ref="D54:J54" si="0">SUMPRODUCT($B21:$B51,D21:D51)/SUM(D21:D51)</f>
        <v>19</v>
      </c>
      <c r="E54" s="5">
        <f t="shared" si="0"/>
        <v>13</v>
      </c>
      <c r="F54" s="5">
        <f t="shared" si="0"/>
        <v>15.8</v>
      </c>
      <c r="G54" s="5" t="e">
        <f t="shared" si="0"/>
        <v>#REF!</v>
      </c>
      <c r="H54" s="5">
        <f t="shared" si="0"/>
        <v>16</v>
      </c>
      <c r="I54" s="5">
        <f t="shared" si="0"/>
        <v>11.571428571428571</v>
      </c>
      <c r="J54" s="5">
        <f t="shared" si="0"/>
        <v>5</v>
      </c>
    </row>
  </sheetData>
  <sortState xmlns:xlrd2="http://schemas.microsoft.com/office/spreadsheetml/2017/richdata2" ref="A1:A12">
    <sortCondition ref="A4:A12"/>
  </sortState>
  <pageMargins left="0.7" right="0.7" top="0.75" bottom="0.75" header="0.3" footer="0.3"/>
  <pageSetup paperSize="9" orientation="portrait" horizontalDpi="4294967293" verticalDpi="4294967293"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29F52-CACF-47FB-A081-08DC136865C7}">
  <sheetPr>
    <tabColor theme="9" tint="0.39997558519241921"/>
  </sheetPr>
  <dimension ref="A1"/>
  <sheetViews>
    <sheetView workbookViewId="0">
      <selection activeCell="H3" sqref="H3"/>
    </sheetView>
  </sheetViews>
  <sheetFormatPr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24362-5B82-48AC-8DDE-5D63EBAE17FF}">
  <sheetPr>
    <tabColor theme="9" tint="0.39997558519241921"/>
  </sheetPr>
  <dimension ref="A1:AE49"/>
  <sheetViews>
    <sheetView workbookViewId="0">
      <selection activeCell="H3" sqref="H3"/>
    </sheetView>
  </sheetViews>
  <sheetFormatPr defaultRowHeight="15" x14ac:dyDescent="0.25"/>
  <cols>
    <col min="2" max="2" width="91" customWidth="1"/>
    <col min="3" max="3" width="11" customWidth="1"/>
    <col min="6" max="7" width="0" hidden="1" customWidth="1"/>
    <col min="8" max="8" width="16.140625" customWidth="1"/>
    <col min="17" max="18" width="11.28515625" customWidth="1"/>
  </cols>
  <sheetData>
    <row r="1" spans="1:31" x14ac:dyDescent="0.25">
      <c r="A1" t="s">
        <v>111</v>
      </c>
      <c r="I1" s="125" t="s">
        <v>304</v>
      </c>
      <c r="J1" s="125"/>
      <c r="K1" s="125"/>
      <c r="L1" s="125"/>
      <c r="M1" s="125"/>
      <c r="N1" s="125"/>
      <c r="O1" s="125"/>
      <c r="P1" s="125"/>
      <c r="Q1" s="125"/>
      <c r="R1" s="125"/>
      <c r="S1" s="125"/>
      <c r="T1" s="125"/>
      <c r="U1" s="125"/>
      <c r="V1" s="125"/>
      <c r="W1" s="125"/>
      <c r="X1" s="125"/>
      <c r="Y1" s="125"/>
      <c r="Z1" s="125"/>
      <c r="AA1" s="125"/>
      <c r="AB1" s="125"/>
      <c r="AC1" s="125"/>
      <c r="AD1" s="125"/>
      <c r="AE1" s="125"/>
    </row>
    <row r="2" spans="1:31" x14ac:dyDescent="0.25">
      <c r="C2" t="s">
        <v>90</v>
      </c>
      <c r="H2" t="s">
        <v>305</v>
      </c>
      <c r="I2" t="s">
        <v>74</v>
      </c>
      <c r="J2" t="s">
        <v>75</v>
      </c>
      <c r="K2" t="s">
        <v>75</v>
      </c>
      <c r="L2" t="s">
        <v>74</v>
      </c>
      <c r="M2" t="s">
        <v>76</v>
      </c>
      <c r="N2" t="s">
        <v>76</v>
      </c>
      <c r="O2" t="s">
        <v>155</v>
      </c>
      <c r="P2" t="s">
        <v>157</v>
      </c>
      <c r="Q2" t="s">
        <v>158</v>
      </c>
      <c r="R2" t="s">
        <v>161</v>
      </c>
      <c r="S2" t="s">
        <v>163</v>
      </c>
      <c r="T2" t="s">
        <v>161</v>
      </c>
      <c r="U2" t="s">
        <v>76</v>
      </c>
      <c r="V2" t="s">
        <v>168</v>
      </c>
      <c r="W2" t="s">
        <v>169</v>
      </c>
      <c r="X2" t="s">
        <v>170</v>
      </c>
      <c r="Y2" t="s">
        <v>76</v>
      </c>
      <c r="Z2" t="s">
        <v>74</v>
      </c>
      <c r="AA2" t="s">
        <v>171</v>
      </c>
      <c r="AB2" t="s">
        <v>76</v>
      </c>
      <c r="AC2" t="s">
        <v>74</v>
      </c>
      <c r="AD2" t="s">
        <v>282</v>
      </c>
    </row>
    <row r="3" spans="1:31" x14ac:dyDescent="0.25">
      <c r="B3" s="1" t="s">
        <v>150</v>
      </c>
      <c r="F3" t="s">
        <v>125</v>
      </c>
      <c r="G3" t="s">
        <v>126</v>
      </c>
      <c r="H3" t="s">
        <v>306</v>
      </c>
      <c r="I3" s="55" t="s">
        <v>25</v>
      </c>
      <c r="J3" s="55" t="s">
        <v>26</v>
      </c>
      <c r="K3" s="55" t="s">
        <v>27</v>
      </c>
      <c r="L3" s="56" t="s">
        <v>28</v>
      </c>
      <c r="M3" s="55" t="s">
        <v>32</v>
      </c>
      <c r="N3" t="s">
        <v>33</v>
      </c>
      <c r="O3" t="s">
        <v>35</v>
      </c>
      <c r="P3" t="s">
        <v>38</v>
      </c>
      <c r="Q3" t="s">
        <v>39</v>
      </c>
      <c r="R3" t="s">
        <v>4</v>
      </c>
      <c r="S3" t="s">
        <v>6</v>
      </c>
      <c r="T3" s="3" t="s">
        <v>7</v>
      </c>
      <c r="U3" t="s">
        <v>11</v>
      </c>
      <c r="V3" t="s">
        <v>43</v>
      </c>
      <c r="W3" t="s">
        <v>44</v>
      </c>
      <c r="X3" t="s">
        <v>46</v>
      </c>
      <c r="Y3" t="s">
        <v>48</v>
      </c>
      <c r="Z3" t="s">
        <v>52</v>
      </c>
      <c r="AA3" t="s">
        <v>56</v>
      </c>
      <c r="AB3" t="s">
        <v>57</v>
      </c>
      <c r="AC3" t="s">
        <v>59</v>
      </c>
      <c r="AD3" s="57" t="s">
        <v>41</v>
      </c>
      <c r="AE3" s="57" t="s">
        <v>42</v>
      </c>
    </row>
    <row r="4" spans="1:31" x14ac:dyDescent="0.25">
      <c r="B4" s="7" t="s">
        <v>84</v>
      </c>
      <c r="C4" s="7"/>
      <c r="D4">
        <v>0.5</v>
      </c>
      <c r="F4">
        <f>MAX(D4:D7)</f>
        <v>0.5</v>
      </c>
      <c r="H4" t="s">
        <v>307</v>
      </c>
      <c r="I4" t="s">
        <v>25</v>
      </c>
      <c r="J4" t="s">
        <v>26</v>
      </c>
      <c r="K4" t="s">
        <v>27</v>
      </c>
      <c r="L4" t="s">
        <v>28</v>
      </c>
      <c r="M4" t="s">
        <v>32</v>
      </c>
      <c r="N4" t="s">
        <v>33</v>
      </c>
      <c r="O4" t="s">
        <v>35</v>
      </c>
      <c r="P4" t="s">
        <v>38</v>
      </c>
      <c r="Q4" t="s">
        <v>39</v>
      </c>
      <c r="R4" t="s">
        <v>4</v>
      </c>
      <c r="S4" t="s">
        <v>6</v>
      </c>
      <c r="T4" t="s">
        <v>7</v>
      </c>
      <c r="U4" t="s">
        <v>11</v>
      </c>
      <c r="V4" t="s">
        <v>43</v>
      </c>
      <c r="W4" t="s">
        <v>44</v>
      </c>
      <c r="X4" t="s">
        <v>46</v>
      </c>
      <c r="Y4" t="s">
        <v>48</v>
      </c>
      <c r="Z4" t="s">
        <v>52</v>
      </c>
      <c r="AA4" t="s">
        <v>56</v>
      </c>
      <c r="AB4" t="s">
        <v>57</v>
      </c>
      <c r="AC4" t="s">
        <v>59</v>
      </c>
      <c r="AD4" s="57"/>
    </row>
    <row r="5" spans="1:31" x14ac:dyDescent="0.25">
      <c r="B5" s="7" t="s">
        <v>85</v>
      </c>
      <c r="D5">
        <v>0.05</v>
      </c>
      <c r="G5">
        <v>0.05</v>
      </c>
    </row>
    <row r="6" spans="1:31" x14ac:dyDescent="0.25">
      <c r="B6" s="7" t="s">
        <v>89</v>
      </c>
      <c r="D6">
        <v>1E-3</v>
      </c>
    </row>
    <row r="7" spans="1:31" x14ac:dyDescent="0.25">
      <c r="B7" s="7" t="s">
        <v>83</v>
      </c>
      <c r="D7">
        <v>0</v>
      </c>
      <c r="I7">
        <v>1E-3</v>
      </c>
      <c r="J7">
        <v>1E-3</v>
      </c>
      <c r="K7">
        <v>1E-3</v>
      </c>
      <c r="L7">
        <v>1E-3</v>
      </c>
      <c r="M7">
        <v>1E-3</v>
      </c>
      <c r="N7">
        <v>1E-3</v>
      </c>
      <c r="O7">
        <v>0</v>
      </c>
      <c r="P7">
        <v>1E-3</v>
      </c>
      <c r="Q7">
        <v>1E-3</v>
      </c>
      <c r="R7">
        <v>0</v>
      </c>
      <c r="S7">
        <v>0</v>
      </c>
      <c r="T7">
        <v>0</v>
      </c>
      <c r="U7">
        <v>0</v>
      </c>
      <c r="V7">
        <v>0</v>
      </c>
      <c r="W7">
        <v>0</v>
      </c>
      <c r="X7">
        <v>1E-3</v>
      </c>
      <c r="Y7">
        <v>0</v>
      </c>
      <c r="Z7">
        <v>1E-3</v>
      </c>
      <c r="AA7">
        <v>0</v>
      </c>
      <c r="AB7">
        <v>0</v>
      </c>
      <c r="AC7">
        <v>1E-3</v>
      </c>
      <c r="AD7">
        <v>1E-3</v>
      </c>
      <c r="AE7">
        <v>0</v>
      </c>
    </row>
    <row r="8" spans="1:31" x14ac:dyDescent="0.25">
      <c r="B8" s="7"/>
    </row>
    <row r="9" spans="1:31" x14ac:dyDescent="0.25">
      <c r="B9" s="7" t="s">
        <v>151</v>
      </c>
      <c r="D9">
        <v>1E-3</v>
      </c>
      <c r="F9">
        <f>D9</f>
        <v>1E-3</v>
      </c>
      <c r="G9">
        <f>D9</f>
        <v>1E-3</v>
      </c>
      <c r="I9">
        <f>D9</f>
        <v>1E-3</v>
      </c>
      <c r="J9">
        <v>1E-3</v>
      </c>
      <c r="K9">
        <f>F9</f>
        <v>1E-3</v>
      </c>
      <c r="L9">
        <f>G9</f>
        <v>1E-3</v>
      </c>
      <c r="M9">
        <f>L9</f>
        <v>1E-3</v>
      </c>
      <c r="N9">
        <f>M9</f>
        <v>1E-3</v>
      </c>
      <c r="P9">
        <v>1E-3</v>
      </c>
      <c r="Q9">
        <v>1E-3</v>
      </c>
      <c r="X9">
        <v>1E-3</v>
      </c>
      <c r="Z9">
        <f>U9</f>
        <v>0</v>
      </c>
      <c r="AC9">
        <f>X9</f>
        <v>1E-3</v>
      </c>
      <c r="AD9">
        <v>1E-3</v>
      </c>
      <c r="AE9">
        <v>1E-3</v>
      </c>
    </row>
    <row r="11" spans="1:31" x14ac:dyDescent="0.25">
      <c r="B11" s="1" t="s">
        <v>118</v>
      </c>
    </row>
    <row r="12" spans="1:31" x14ac:dyDescent="0.25">
      <c r="B12" s="7" t="s">
        <v>77</v>
      </c>
      <c r="C12" s="7" t="s">
        <v>79</v>
      </c>
      <c r="D12">
        <v>0.2</v>
      </c>
      <c r="F12">
        <f>MAX(D12:D14)</f>
        <v>1</v>
      </c>
    </row>
    <row r="13" spans="1:31" x14ac:dyDescent="0.25">
      <c r="B13" s="7" t="s">
        <v>78</v>
      </c>
      <c r="D13">
        <v>0.6</v>
      </c>
      <c r="G13">
        <v>0.6</v>
      </c>
      <c r="I13">
        <v>0.6</v>
      </c>
      <c r="J13">
        <v>0.6</v>
      </c>
      <c r="K13">
        <f>I13</f>
        <v>0.6</v>
      </c>
      <c r="L13">
        <v>0.6</v>
      </c>
      <c r="M13">
        <v>0.6</v>
      </c>
      <c r="N13">
        <v>0.6</v>
      </c>
      <c r="P13">
        <v>0.6</v>
      </c>
      <c r="Q13">
        <v>0.6</v>
      </c>
      <c r="X13">
        <v>0.6</v>
      </c>
      <c r="Z13">
        <f>X13</f>
        <v>0.6</v>
      </c>
      <c r="AC13">
        <v>0.6</v>
      </c>
      <c r="AD13">
        <v>0.6</v>
      </c>
    </row>
    <row r="14" spans="1:31" x14ac:dyDescent="0.25">
      <c r="B14" s="7" t="s">
        <v>79</v>
      </c>
      <c r="D14">
        <v>1</v>
      </c>
    </row>
    <row r="16" spans="1:31" x14ac:dyDescent="0.25">
      <c r="B16" s="1" t="s">
        <v>86</v>
      </c>
    </row>
    <row r="17" spans="2:30" x14ac:dyDescent="0.25">
      <c r="B17" t="s">
        <v>80</v>
      </c>
      <c r="C17" t="s">
        <v>80</v>
      </c>
      <c r="D17">
        <v>5</v>
      </c>
      <c r="F17" s="1">
        <f>MAX(D17:D18)</f>
        <v>5</v>
      </c>
      <c r="G17">
        <v>5</v>
      </c>
      <c r="I17">
        <v>5</v>
      </c>
      <c r="J17">
        <v>5</v>
      </c>
      <c r="K17">
        <v>5</v>
      </c>
      <c r="L17">
        <v>5</v>
      </c>
      <c r="M17">
        <v>5</v>
      </c>
      <c r="N17">
        <v>5</v>
      </c>
      <c r="P17">
        <v>5</v>
      </c>
      <c r="Q17">
        <v>5</v>
      </c>
      <c r="X17">
        <v>5</v>
      </c>
      <c r="Z17">
        <v>5</v>
      </c>
      <c r="AC17">
        <v>5</v>
      </c>
      <c r="AD17">
        <v>5</v>
      </c>
    </row>
    <row r="18" spans="2:30" x14ac:dyDescent="0.25">
      <c r="B18" t="s">
        <v>81</v>
      </c>
      <c r="D18">
        <v>1</v>
      </c>
    </row>
    <row r="20" spans="2:30" x14ac:dyDescent="0.25">
      <c r="B20" s="1" t="s">
        <v>87</v>
      </c>
    </row>
    <row r="21" spans="2:30" x14ac:dyDescent="0.25">
      <c r="B21" t="s">
        <v>80</v>
      </c>
      <c r="C21" t="s">
        <v>91</v>
      </c>
      <c r="D21">
        <v>10</v>
      </c>
      <c r="F21" s="1">
        <f>MAX(D21:D22)</f>
        <v>10</v>
      </c>
      <c r="G21">
        <v>10</v>
      </c>
    </row>
    <row r="22" spans="2:30" x14ac:dyDescent="0.25">
      <c r="B22" t="s">
        <v>81</v>
      </c>
      <c r="D22">
        <v>1</v>
      </c>
      <c r="I22">
        <v>10</v>
      </c>
      <c r="J22">
        <v>10</v>
      </c>
      <c r="K22">
        <v>10</v>
      </c>
      <c r="L22">
        <v>10</v>
      </c>
      <c r="M22">
        <v>1</v>
      </c>
      <c r="N22">
        <v>10</v>
      </c>
      <c r="P22">
        <v>10</v>
      </c>
      <c r="Q22">
        <v>10</v>
      </c>
      <c r="U22" s="3"/>
      <c r="X22">
        <v>10</v>
      </c>
      <c r="Z22">
        <v>10</v>
      </c>
      <c r="AC22">
        <v>10</v>
      </c>
      <c r="AD22">
        <v>1</v>
      </c>
    </row>
    <row r="24" spans="2:30" x14ac:dyDescent="0.25">
      <c r="B24" s="1" t="s">
        <v>119</v>
      </c>
    </row>
    <row r="25" spans="2:30" x14ac:dyDescent="0.25">
      <c r="B25" s="12" t="s">
        <v>80</v>
      </c>
      <c r="D25">
        <v>1.5</v>
      </c>
      <c r="F25" s="1">
        <f>MAX(D25:D26)</f>
        <v>1.5</v>
      </c>
      <c r="G25">
        <v>1</v>
      </c>
      <c r="I25">
        <v>1</v>
      </c>
      <c r="J25">
        <v>1</v>
      </c>
      <c r="K25">
        <v>1</v>
      </c>
      <c r="L25">
        <v>1</v>
      </c>
      <c r="M25">
        <v>1</v>
      </c>
      <c r="N25">
        <v>1.5</v>
      </c>
      <c r="P25">
        <v>1.5</v>
      </c>
      <c r="Q25">
        <v>1</v>
      </c>
      <c r="X25">
        <v>1.5</v>
      </c>
      <c r="Z25">
        <v>1</v>
      </c>
      <c r="AC25">
        <v>1</v>
      </c>
      <c r="AD25">
        <v>1</v>
      </c>
    </row>
    <row r="26" spans="2:30" x14ac:dyDescent="0.25">
      <c r="B26" s="13" t="s">
        <v>81</v>
      </c>
      <c r="D26">
        <v>1</v>
      </c>
    </row>
    <row r="27" spans="2:30" x14ac:dyDescent="0.25">
      <c r="B27" s="13"/>
    </row>
    <row r="28" spans="2:30" x14ac:dyDescent="0.25">
      <c r="B28" s="1" t="s">
        <v>82</v>
      </c>
    </row>
    <row r="29" spans="2:30" x14ac:dyDescent="0.25">
      <c r="B29" t="s">
        <v>121</v>
      </c>
      <c r="D29">
        <v>1</v>
      </c>
      <c r="F29" s="1">
        <f>MAX(D29:D30)</f>
        <v>10</v>
      </c>
    </row>
    <row r="30" spans="2:30" x14ac:dyDescent="0.25">
      <c r="B30" t="s">
        <v>120</v>
      </c>
      <c r="D30">
        <v>10</v>
      </c>
      <c r="G30">
        <v>10</v>
      </c>
      <c r="I30">
        <v>10</v>
      </c>
      <c r="J30">
        <v>10</v>
      </c>
      <c r="K30">
        <v>10</v>
      </c>
      <c r="L30">
        <v>10</v>
      </c>
      <c r="M30">
        <v>10</v>
      </c>
      <c r="N30">
        <v>10</v>
      </c>
      <c r="P30">
        <v>10</v>
      </c>
      <c r="Q30">
        <v>10</v>
      </c>
      <c r="X30">
        <v>10</v>
      </c>
      <c r="Z30">
        <v>10</v>
      </c>
      <c r="AC30">
        <v>1</v>
      </c>
      <c r="AD30">
        <v>10</v>
      </c>
    </row>
    <row r="32" spans="2:30" x14ac:dyDescent="0.25">
      <c r="B32" s="1" t="s">
        <v>122</v>
      </c>
      <c r="C32" t="s">
        <v>123</v>
      </c>
      <c r="D32">
        <v>20</v>
      </c>
      <c r="F32" s="1">
        <f>MAX(D32:D33)</f>
        <v>20</v>
      </c>
      <c r="G32">
        <v>20</v>
      </c>
      <c r="I32">
        <v>2</v>
      </c>
      <c r="J32">
        <v>2</v>
      </c>
      <c r="K32">
        <v>2</v>
      </c>
      <c r="L32">
        <v>2</v>
      </c>
      <c r="M32">
        <v>2</v>
      </c>
      <c r="N32">
        <v>2</v>
      </c>
      <c r="P32">
        <v>2</v>
      </c>
      <c r="Q32">
        <v>2</v>
      </c>
      <c r="X32">
        <v>2</v>
      </c>
      <c r="Z32">
        <v>2</v>
      </c>
      <c r="AC32">
        <v>2</v>
      </c>
      <c r="AD32">
        <v>2</v>
      </c>
    </row>
    <row r="36" spans="1:31" x14ac:dyDescent="0.25">
      <c r="A36" s="1" t="s">
        <v>135</v>
      </c>
      <c r="E36" t="s">
        <v>136</v>
      </c>
    </row>
    <row r="37" spans="1:31" x14ac:dyDescent="0.25">
      <c r="B37" s="14" t="s">
        <v>113</v>
      </c>
      <c r="E37" s="1">
        <v>1.2</v>
      </c>
      <c r="F37">
        <f>E37</f>
        <v>1.2</v>
      </c>
      <c r="G37">
        <f>E37</f>
        <v>1.2</v>
      </c>
      <c r="I37">
        <f>G37</f>
        <v>1.2</v>
      </c>
      <c r="J37">
        <f>I37</f>
        <v>1.2</v>
      </c>
      <c r="K37">
        <f>J37</f>
        <v>1.2</v>
      </c>
      <c r="L37">
        <f>J37</f>
        <v>1.2</v>
      </c>
      <c r="M37">
        <f>K37</f>
        <v>1.2</v>
      </c>
      <c r="N37">
        <f>L37</f>
        <v>1.2</v>
      </c>
      <c r="P37">
        <f>N37</f>
        <v>1.2</v>
      </c>
      <c r="Q37">
        <f>P37</f>
        <v>1.2</v>
      </c>
      <c r="X37">
        <v>1.2</v>
      </c>
      <c r="Z37">
        <f>Y37</f>
        <v>0</v>
      </c>
      <c r="AC37">
        <v>1.2</v>
      </c>
      <c r="AD37">
        <v>1.2</v>
      </c>
    </row>
    <row r="38" spans="1:31" x14ac:dyDescent="0.25">
      <c r="B38" s="14"/>
    </row>
    <row r="39" spans="1:31" x14ac:dyDescent="0.25">
      <c r="B39" s="14" t="s">
        <v>114</v>
      </c>
      <c r="E39" s="1">
        <v>1.2</v>
      </c>
      <c r="F39">
        <f>E39</f>
        <v>1.2</v>
      </c>
      <c r="G39">
        <f>E39</f>
        <v>1.2</v>
      </c>
      <c r="I39">
        <f>G39</f>
        <v>1.2</v>
      </c>
      <c r="J39">
        <f>I39</f>
        <v>1.2</v>
      </c>
      <c r="K39">
        <f>J39</f>
        <v>1.2</v>
      </c>
      <c r="L39">
        <f>J39</f>
        <v>1.2</v>
      </c>
      <c r="M39">
        <f>K39</f>
        <v>1.2</v>
      </c>
      <c r="N39">
        <f>L39</f>
        <v>1.2</v>
      </c>
      <c r="P39">
        <f>N39</f>
        <v>1.2</v>
      </c>
      <c r="Q39">
        <f>P39</f>
        <v>1.2</v>
      </c>
      <c r="X39">
        <v>1.2</v>
      </c>
      <c r="Z39">
        <f>Y39</f>
        <v>0</v>
      </c>
      <c r="AC39">
        <v>1.2</v>
      </c>
      <c r="AD39">
        <v>1.2</v>
      </c>
    </row>
    <row r="40" spans="1:31" x14ac:dyDescent="0.25">
      <c r="B40" s="14"/>
    </row>
    <row r="41" spans="1:31" x14ac:dyDescent="0.25">
      <c r="B41" s="14" t="s">
        <v>115</v>
      </c>
      <c r="E41">
        <v>1.1000000000000001</v>
      </c>
      <c r="F41">
        <f>E41</f>
        <v>1.1000000000000001</v>
      </c>
      <c r="G41">
        <f>E41</f>
        <v>1.1000000000000001</v>
      </c>
      <c r="I41">
        <f>G41</f>
        <v>1.1000000000000001</v>
      </c>
      <c r="J41">
        <f>I41</f>
        <v>1.1000000000000001</v>
      </c>
      <c r="K41">
        <f>J41</f>
        <v>1.1000000000000001</v>
      </c>
      <c r="L41">
        <f>J41</f>
        <v>1.1000000000000001</v>
      </c>
      <c r="M41">
        <f>K41</f>
        <v>1.1000000000000001</v>
      </c>
      <c r="N41">
        <f>L41</f>
        <v>1.1000000000000001</v>
      </c>
      <c r="P41">
        <f>N41</f>
        <v>1.1000000000000001</v>
      </c>
      <c r="Q41">
        <f>P41</f>
        <v>1.1000000000000001</v>
      </c>
      <c r="X41">
        <v>1.1000000000000001</v>
      </c>
      <c r="Z41">
        <f>Y41</f>
        <v>0</v>
      </c>
      <c r="AC41">
        <v>1.1000000000000001</v>
      </c>
      <c r="AD41">
        <v>1.1000000000000001</v>
      </c>
    </row>
    <row r="42" spans="1:31" x14ac:dyDescent="0.25">
      <c r="B42" s="14"/>
    </row>
    <row r="43" spans="1:31" x14ac:dyDescent="0.25">
      <c r="B43" s="14" t="s">
        <v>116</v>
      </c>
      <c r="E43">
        <v>1.05</v>
      </c>
      <c r="F43">
        <f>E43</f>
        <v>1.05</v>
      </c>
      <c r="G43">
        <f>E43</f>
        <v>1.05</v>
      </c>
      <c r="I43">
        <f>G43</f>
        <v>1.05</v>
      </c>
      <c r="J43">
        <f>I43</f>
        <v>1.05</v>
      </c>
      <c r="K43">
        <f>J43</f>
        <v>1.05</v>
      </c>
      <c r="L43">
        <f>J43</f>
        <v>1.05</v>
      </c>
      <c r="M43">
        <f>K43</f>
        <v>1.05</v>
      </c>
      <c r="N43">
        <f>L43</f>
        <v>1.05</v>
      </c>
      <c r="P43">
        <f>N43</f>
        <v>1.05</v>
      </c>
      <c r="Q43">
        <f>P43</f>
        <v>1.05</v>
      </c>
      <c r="X43">
        <v>1.05</v>
      </c>
      <c r="Z43">
        <f>Y43</f>
        <v>0</v>
      </c>
      <c r="AC43">
        <v>1.05</v>
      </c>
      <c r="AD43">
        <v>1.05</v>
      </c>
    </row>
    <row r="46" spans="1:31" x14ac:dyDescent="0.25">
      <c r="B46" t="s">
        <v>124</v>
      </c>
      <c r="F46">
        <f>PRODUCT(F37:F43,F4:F30,(1+F32/10))</f>
        <v>1.8711000000000007</v>
      </c>
      <c r="G46">
        <f>PRODUCT(G37:G43,G4:G30,(1+G32/10))</f>
        <v>7.4844000000000008E-2</v>
      </c>
      <c r="I46">
        <f t="shared" ref="I46:W46" si="0">PRODUCT(I37:I43,I4:I30,(1+I32/10))</f>
        <v>5.9875200000000003E-4</v>
      </c>
      <c r="J46">
        <f t="shared" si="0"/>
        <v>5.9875200000000003E-4</v>
      </c>
      <c r="K46">
        <f t="shared" si="0"/>
        <v>5.9875200000000003E-4</v>
      </c>
      <c r="L46">
        <f t="shared" si="0"/>
        <v>5.9875200000000003E-4</v>
      </c>
      <c r="M46">
        <f t="shared" si="0"/>
        <v>5.9875200000000006E-5</v>
      </c>
      <c r="N46">
        <f t="shared" si="0"/>
        <v>8.9812799999999999E-4</v>
      </c>
      <c r="O46">
        <f t="shared" si="0"/>
        <v>0</v>
      </c>
      <c r="P46">
        <f t="shared" si="0"/>
        <v>8.9812799999999999E-4</v>
      </c>
      <c r="Q46">
        <f t="shared" si="0"/>
        <v>5.9875200000000003E-4</v>
      </c>
      <c r="R46">
        <f t="shared" si="0"/>
        <v>0</v>
      </c>
      <c r="S46">
        <f t="shared" si="0"/>
        <v>0</v>
      </c>
      <c r="T46">
        <f t="shared" si="0"/>
        <v>0</v>
      </c>
      <c r="U46">
        <f t="shared" si="0"/>
        <v>0</v>
      </c>
      <c r="V46">
        <f t="shared" si="0"/>
        <v>0</v>
      </c>
      <c r="W46">
        <f t="shared" si="0"/>
        <v>0</v>
      </c>
      <c r="X46">
        <f t="shared" ref="X46" si="1">PRODUCT(X37:X43,X4:X30,(1+X32/10))</f>
        <v>8.9812799999999999E-4</v>
      </c>
      <c r="Z46">
        <f t="shared" ref="Z46" si="2">PRODUCT(Z37:Z43,Z4:Z30,(1+Z32/10))</f>
        <v>0</v>
      </c>
      <c r="AC46">
        <f t="shared" ref="AC46:AD46" si="3">PRODUCT(AC37:AC43,AC4:AC30,(1+AC32/10))</f>
        <v>5.9875200000000006E-5</v>
      </c>
      <c r="AD46">
        <f t="shared" si="3"/>
        <v>5.9875200000000006E-5</v>
      </c>
      <c r="AE46">
        <f t="shared" ref="AE46" si="4">PRODUCT(AE37:AE43,AE4:AE30,(1+AE32/10))</f>
        <v>0</v>
      </c>
    </row>
    <row r="49" spans="6:31" x14ac:dyDescent="0.25">
      <c r="F49" s="15"/>
      <c r="G49" s="15"/>
      <c r="H49" s="15">
        <f t="shared" ref="H49:AE49" si="5">IF(H46=0,0,LOG(calib*H46,2))</f>
        <v>0</v>
      </c>
      <c r="I49" s="15">
        <f t="shared" si="5"/>
        <v>3.1585369042100218</v>
      </c>
      <c r="J49" s="15">
        <f t="shared" si="5"/>
        <v>3.1585369042100218</v>
      </c>
      <c r="K49" s="15">
        <f t="shared" si="5"/>
        <v>3.1585369042100218</v>
      </c>
      <c r="L49" s="15">
        <f t="shared" si="5"/>
        <v>3.1585369042100218</v>
      </c>
      <c r="M49" s="15">
        <f t="shared" si="5"/>
        <v>-0.16339119067734043</v>
      </c>
      <c r="N49" s="15">
        <f t="shared" si="5"/>
        <v>3.7434994049311778</v>
      </c>
      <c r="O49" s="15">
        <f t="shared" si="5"/>
        <v>0</v>
      </c>
      <c r="P49" s="15">
        <f t="shared" si="5"/>
        <v>3.7434994049311778</v>
      </c>
      <c r="Q49" s="15">
        <f t="shared" si="5"/>
        <v>3.1585369042100218</v>
      </c>
      <c r="R49" s="15">
        <f t="shared" si="5"/>
        <v>0</v>
      </c>
      <c r="S49" s="15">
        <f t="shared" si="5"/>
        <v>0</v>
      </c>
      <c r="T49" s="15">
        <f t="shared" si="5"/>
        <v>0</v>
      </c>
      <c r="U49" s="15">
        <f t="shared" si="5"/>
        <v>0</v>
      </c>
      <c r="V49" s="15">
        <f t="shared" si="5"/>
        <v>0</v>
      </c>
      <c r="W49" s="15">
        <f t="shared" si="5"/>
        <v>0</v>
      </c>
      <c r="X49" s="15">
        <f t="shared" si="5"/>
        <v>3.7434994049311778</v>
      </c>
      <c r="Y49" s="15">
        <f t="shared" si="5"/>
        <v>0</v>
      </c>
      <c r="Z49" s="15">
        <f t="shared" si="5"/>
        <v>0</v>
      </c>
      <c r="AA49" s="15">
        <f t="shared" si="5"/>
        <v>0</v>
      </c>
      <c r="AB49" s="15">
        <f t="shared" si="5"/>
        <v>0</v>
      </c>
      <c r="AC49" s="15">
        <f t="shared" si="5"/>
        <v>-0.16339119067734043</v>
      </c>
      <c r="AD49" s="15">
        <f t="shared" si="5"/>
        <v>-0.16339119067734043</v>
      </c>
      <c r="AE49" s="15">
        <f t="shared" si="5"/>
        <v>0</v>
      </c>
    </row>
  </sheetData>
  <mergeCells count="1">
    <mergeCell ref="I1:AE1"/>
  </mergeCells>
  <pageMargins left="0.7" right="0.7" top="0.75" bottom="0.75" header="0.3" footer="0.3"/>
  <pageSetup paperSize="9" orientation="portrait" horizontalDpi="4294967293" verticalDpi="4294967293"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2A132-287B-4FE2-A844-D31F7B86D030}">
  <sheetPr>
    <tabColor theme="9" tint="0.39997558519241921"/>
  </sheetPr>
  <dimension ref="A1:Q48"/>
  <sheetViews>
    <sheetView topLeftCell="B1" zoomScale="115" zoomScaleNormal="115" workbookViewId="0">
      <selection activeCell="H3" sqref="H3"/>
    </sheetView>
  </sheetViews>
  <sheetFormatPr defaultRowHeight="15" x14ac:dyDescent="0.25"/>
  <cols>
    <col min="2" max="2" width="91" customWidth="1"/>
    <col min="3" max="3" width="11" customWidth="1"/>
    <col min="6" max="6" width="18.140625" customWidth="1"/>
    <col min="7" max="7" width="14.140625" customWidth="1"/>
  </cols>
  <sheetData>
    <row r="1" spans="1:17" x14ac:dyDescent="0.25">
      <c r="G1" t="s">
        <v>308</v>
      </c>
    </row>
    <row r="2" spans="1:17" x14ac:dyDescent="0.25">
      <c r="A2" t="s">
        <v>159</v>
      </c>
      <c r="G2" s="125" t="s">
        <v>304</v>
      </c>
      <c r="H2" s="125"/>
      <c r="I2" s="125"/>
      <c r="J2" s="125"/>
      <c r="K2" s="125"/>
      <c r="L2" s="125"/>
      <c r="M2" s="125"/>
      <c r="N2" s="125"/>
      <c r="O2" s="125"/>
      <c r="P2" s="125"/>
      <c r="Q2" s="125"/>
    </row>
    <row r="3" spans="1:17" x14ac:dyDescent="0.25">
      <c r="C3" t="s">
        <v>90</v>
      </c>
      <c r="F3" t="s">
        <v>306</v>
      </c>
      <c r="G3" t="s">
        <v>15</v>
      </c>
      <c r="H3" t="s">
        <v>18</v>
      </c>
      <c r="I3" t="s">
        <v>20</v>
      </c>
      <c r="J3" t="s">
        <v>22</v>
      </c>
      <c r="K3" t="s">
        <v>23</v>
      </c>
      <c r="L3" t="s">
        <v>24</v>
      </c>
      <c r="M3" t="s">
        <v>3</v>
      </c>
      <c r="N3" t="s">
        <v>5</v>
      </c>
      <c r="O3" t="s">
        <v>12</v>
      </c>
      <c r="P3" t="s">
        <v>14</v>
      </c>
      <c r="Q3" t="s">
        <v>58</v>
      </c>
    </row>
    <row r="4" spans="1:17" x14ac:dyDescent="0.25">
      <c r="B4" s="1" t="s">
        <v>127</v>
      </c>
      <c r="F4" t="s">
        <v>305</v>
      </c>
      <c r="G4" t="s">
        <v>64</v>
      </c>
      <c r="H4" t="s">
        <v>67</v>
      </c>
      <c r="I4" t="s">
        <v>70</v>
      </c>
      <c r="J4" t="s">
        <v>73</v>
      </c>
      <c r="K4" t="s">
        <v>72</v>
      </c>
      <c r="L4" t="s">
        <v>72</v>
      </c>
      <c r="M4" t="s">
        <v>160</v>
      </c>
      <c r="N4" t="s">
        <v>162</v>
      </c>
      <c r="P4" t="s">
        <v>55</v>
      </c>
      <c r="Q4" t="s">
        <v>167</v>
      </c>
    </row>
    <row r="5" spans="1:17" x14ac:dyDescent="0.25">
      <c r="B5" s="7" t="s">
        <v>84</v>
      </c>
      <c r="C5" s="7"/>
      <c r="D5">
        <v>0.5</v>
      </c>
    </row>
    <row r="6" spans="1:17" x14ac:dyDescent="0.25">
      <c r="B6" s="7" t="s">
        <v>85</v>
      </c>
      <c r="D6">
        <v>0.05</v>
      </c>
    </row>
    <row r="7" spans="1:17" x14ac:dyDescent="0.25">
      <c r="B7" s="7" t="s">
        <v>89</v>
      </c>
      <c r="D7">
        <v>1E-3</v>
      </c>
    </row>
    <row r="8" spans="1:17" x14ac:dyDescent="0.25">
      <c r="B8" s="7" t="s">
        <v>83</v>
      </c>
      <c r="D8">
        <v>0</v>
      </c>
    </row>
    <row r="9" spans="1:17" x14ac:dyDescent="0.25">
      <c r="G9">
        <v>1E-3</v>
      </c>
      <c r="H9">
        <v>1E-3</v>
      </c>
      <c r="I9">
        <v>0.05</v>
      </c>
      <c r="J9">
        <v>1E-3</v>
      </c>
      <c r="K9">
        <v>1E-3</v>
      </c>
      <c r="L9">
        <v>1E-3</v>
      </c>
      <c r="M9">
        <v>1E-3</v>
      </c>
      <c r="N9">
        <v>0</v>
      </c>
      <c r="O9">
        <v>0.05</v>
      </c>
      <c r="P9">
        <v>0.05</v>
      </c>
      <c r="Q9">
        <v>0.05</v>
      </c>
    </row>
    <row r="10" spans="1:17" x14ac:dyDescent="0.25">
      <c r="B10" s="1" t="s">
        <v>118</v>
      </c>
    </row>
    <row r="11" spans="1:17" x14ac:dyDescent="0.25">
      <c r="B11" s="7" t="s">
        <v>77</v>
      </c>
      <c r="C11" s="7" t="s">
        <v>79</v>
      </c>
      <c r="D11">
        <v>0.2</v>
      </c>
    </row>
    <row r="12" spans="1:17" x14ac:dyDescent="0.25">
      <c r="B12" s="7" t="s">
        <v>78</v>
      </c>
      <c r="D12">
        <v>0.6</v>
      </c>
    </row>
    <row r="13" spans="1:17" x14ac:dyDescent="0.25">
      <c r="B13" s="7" t="s">
        <v>79</v>
      </c>
      <c r="D13">
        <v>1</v>
      </c>
    </row>
    <row r="14" spans="1:17" x14ac:dyDescent="0.25">
      <c r="G14">
        <v>0.6</v>
      </c>
      <c r="H14">
        <v>0.6</v>
      </c>
      <c r="I14">
        <v>0.6</v>
      </c>
      <c r="J14">
        <v>0.6</v>
      </c>
      <c r="K14">
        <v>0.6</v>
      </c>
      <c r="L14">
        <v>0.6</v>
      </c>
      <c r="M14">
        <v>0.6</v>
      </c>
      <c r="O14">
        <v>0.6</v>
      </c>
      <c r="P14">
        <v>0.6</v>
      </c>
      <c r="Q14">
        <v>0.6</v>
      </c>
    </row>
    <row r="15" spans="1:17" x14ac:dyDescent="0.25">
      <c r="B15" s="1" t="s">
        <v>86</v>
      </c>
    </row>
    <row r="16" spans="1:17" x14ac:dyDescent="0.25">
      <c r="B16" t="s">
        <v>80</v>
      </c>
      <c r="C16" t="s">
        <v>80</v>
      </c>
      <c r="D16">
        <v>5</v>
      </c>
    </row>
    <row r="17" spans="2:17" x14ac:dyDescent="0.25">
      <c r="B17" t="s">
        <v>81</v>
      </c>
      <c r="D17">
        <v>1</v>
      </c>
    </row>
    <row r="18" spans="2:17" x14ac:dyDescent="0.25">
      <c r="G18" s="3">
        <v>5</v>
      </c>
      <c r="H18" s="3">
        <v>5</v>
      </c>
      <c r="I18">
        <v>5</v>
      </c>
      <c r="J18">
        <v>5</v>
      </c>
      <c r="K18">
        <v>5</v>
      </c>
      <c r="L18">
        <v>5</v>
      </c>
      <c r="M18">
        <v>5</v>
      </c>
      <c r="O18">
        <v>5</v>
      </c>
      <c r="P18">
        <v>5</v>
      </c>
      <c r="Q18">
        <v>5</v>
      </c>
    </row>
    <row r="19" spans="2:17" x14ac:dyDescent="0.25">
      <c r="B19" s="1" t="s">
        <v>87</v>
      </c>
    </row>
    <row r="20" spans="2:17" x14ac:dyDescent="0.25">
      <c r="B20" t="s">
        <v>80</v>
      </c>
      <c r="C20" t="s">
        <v>91</v>
      </c>
      <c r="D20">
        <v>10</v>
      </c>
    </row>
    <row r="21" spans="2:17" x14ac:dyDescent="0.25">
      <c r="B21" t="s">
        <v>81</v>
      </c>
      <c r="D21">
        <v>1</v>
      </c>
    </row>
    <row r="22" spans="2:17" x14ac:dyDescent="0.25">
      <c r="G22" s="3">
        <v>10</v>
      </c>
      <c r="H22">
        <v>10</v>
      </c>
      <c r="I22" s="3">
        <v>1</v>
      </c>
      <c r="J22">
        <v>1</v>
      </c>
      <c r="K22">
        <v>1</v>
      </c>
      <c r="L22">
        <v>1</v>
      </c>
      <c r="M22" s="3">
        <v>1</v>
      </c>
      <c r="O22" s="3">
        <v>10</v>
      </c>
      <c r="P22" s="3">
        <v>10</v>
      </c>
      <c r="Q22" s="3">
        <v>10</v>
      </c>
    </row>
    <row r="23" spans="2:17" x14ac:dyDescent="0.25">
      <c r="B23" s="1" t="s">
        <v>119</v>
      </c>
    </row>
    <row r="24" spans="2:17" x14ac:dyDescent="0.25">
      <c r="B24" s="12" t="s">
        <v>80</v>
      </c>
      <c r="D24">
        <v>1.5</v>
      </c>
    </row>
    <row r="25" spans="2:17" x14ac:dyDescent="0.25">
      <c r="B25" s="13" t="s">
        <v>81</v>
      </c>
      <c r="D25">
        <v>1</v>
      </c>
    </row>
    <row r="26" spans="2:17" x14ac:dyDescent="0.25">
      <c r="B26" s="13"/>
      <c r="G26" s="3">
        <v>1.5</v>
      </c>
      <c r="H26" s="3">
        <v>1</v>
      </c>
      <c r="I26" s="3">
        <v>1.5</v>
      </c>
      <c r="J26" s="3">
        <v>1.5</v>
      </c>
      <c r="K26" s="3">
        <v>1.5</v>
      </c>
      <c r="L26" s="3">
        <v>1.5</v>
      </c>
      <c r="M26" s="3">
        <v>1</v>
      </c>
      <c r="O26" s="3">
        <v>1</v>
      </c>
      <c r="P26" s="3">
        <v>1</v>
      </c>
      <c r="Q26" s="3">
        <v>1</v>
      </c>
    </row>
    <row r="27" spans="2:17" x14ac:dyDescent="0.25">
      <c r="B27" s="1" t="s">
        <v>82</v>
      </c>
    </row>
    <row r="28" spans="2:17" x14ac:dyDescent="0.25">
      <c r="B28" t="s">
        <v>121</v>
      </c>
      <c r="D28">
        <v>1</v>
      </c>
    </row>
    <row r="29" spans="2:17" x14ac:dyDescent="0.25">
      <c r="B29" t="s">
        <v>120</v>
      </c>
      <c r="D29">
        <v>10</v>
      </c>
    </row>
    <row r="30" spans="2:17" x14ac:dyDescent="0.25">
      <c r="G30">
        <v>10</v>
      </c>
      <c r="H30">
        <v>1</v>
      </c>
      <c r="I30">
        <v>10</v>
      </c>
      <c r="J30">
        <v>10</v>
      </c>
      <c r="K30">
        <v>10</v>
      </c>
      <c r="L30">
        <v>10</v>
      </c>
      <c r="M30" s="3">
        <v>10</v>
      </c>
      <c r="O30">
        <v>10</v>
      </c>
      <c r="P30">
        <v>10</v>
      </c>
      <c r="Q30">
        <v>10</v>
      </c>
    </row>
    <row r="31" spans="2:17" x14ac:dyDescent="0.25">
      <c r="B31" s="1" t="s">
        <v>122</v>
      </c>
      <c r="C31" t="s">
        <v>123</v>
      </c>
      <c r="D31">
        <v>20</v>
      </c>
    </row>
    <row r="32" spans="2:17" x14ac:dyDescent="0.25">
      <c r="G32" s="3">
        <v>2</v>
      </c>
      <c r="H32" s="3">
        <v>2</v>
      </c>
      <c r="I32">
        <v>3</v>
      </c>
      <c r="J32" s="3">
        <v>4</v>
      </c>
      <c r="K32" s="3">
        <v>4</v>
      </c>
      <c r="L32" s="3">
        <v>4</v>
      </c>
      <c r="M32" s="3">
        <v>4</v>
      </c>
      <c r="O32" s="3">
        <v>4</v>
      </c>
      <c r="P32" s="3">
        <v>12</v>
      </c>
      <c r="Q32" s="3">
        <v>4</v>
      </c>
    </row>
    <row r="35" spans="1:17" x14ac:dyDescent="0.25">
      <c r="A35" s="1" t="s">
        <v>135</v>
      </c>
      <c r="G35" t="s">
        <v>136</v>
      </c>
    </row>
    <row r="36" spans="1:17" x14ac:dyDescent="0.25">
      <c r="B36" s="14" t="s">
        <v>113</v>
      </c>
      <c r="G36" s="1">
        <v>1.2</v>
      </c>
      <c r="H36" s="1">
        <v>1.2</v>
      </c>
      <c r="I36" s="1">
        <v>1.2</v>
      </c>
      <c r="J36" s="1">
        <v>1.2</v>
      </c>
      <c r="K36" s="1">
        <v>1.2</v>
      </c>
      <c r="L36" s="1">
        <v>1.2</v>
      </c>
      <c r="M36" s="1">
        <v>1.2</v>
      </c>
      <c r="N36" s="1"/>
      <c r="O36" s="1">
        <v>1.2</v>
      </c>
      <c r="P36" s="1">
        <v>1.2</v>
      </c>
      <c r="Q36" s="1">
        <v>1.2</v>
      </c>
    </row>
    <row r="37" spans="1:17" x14ac:dyDescent="0.25">
      <c r="B37" s="14"/>
    </row>
    <row r="38" spans="1:17" x14ac:dyDescent="0.25">
      <c r="B38" s="14" t="s">
        <v>114</v>
      </c>
      <c r="G38" s="1">
        <v>1.2</v>
      </c>
      <c r="H38" s="1">
        <v>1.2</v>
      </c>
      <c r="I38" s="1">
        <v>1.2</v>
      </c>
      <c r="J38" s="1">
        <v>1.2</v>
      </c>
      <c r="K38" s="1">
        <v>1.2</v>
      </c>
      <c r="L38" s="1">
        <v>1.2</v>
      </c>
      <c r="M38" s="1">
        <v>1.2</v>
      </c>
      <c r="N38" s="1"/>
      <c r="O38" s="1">
        <v>1.2</v>
      </c>
      <c r="P38" s="1">
        <v>1.2</v>
      </c>
      <c r="Q38" s="1">
        <v>1.2</v>
      </c>
    </row>
    <row r="39" spans="1:17" x14ac:dyDescent="0.25">
      <c r="B39" s="14"/>
    </row>
    <row r="40" spans="1:17" x14ac:dyDescent="0.25">
      <c r="B40" s="14" t="s">
        <v>115</v>
      </c>
      <c r="G40">
        <v>1.1000000000000001</v>
      </c>
      <c r="H40">
        <v>1.1000000000000001</v>
      </c>
      <c r="I40">
        <v>1.1000000000000001</v>
      </c>
      <c r="J40">
        <v>1.1000000000000001</v>
      </c>
      <c r="K40">
        <v>1.1000000000000001</v>
      </c>
      <c r="L40">
        <v>1.1000000000000001</v>
      </c>
      <c r="M40">
        <v>1.1000000000000001</v>
      </c>
      <c r="O40">
        <v>1.1000000000000001</v>
      </c>
      <c r="P40">
        <v>1.1000000000000001</v>
      </c>
      <c r="Q40">
        <v>1.1000000000000001</v>
      </c>
    </row>
    <row r="41" spans="1:17" x14ac:dyDescent="0.25">
      <c r="B41" s="14"/>
    </row>
    <row r="42" spans="1:17" x14ac:dyDescent="0.25">
      <c r="B42" s="14" t="s">
        <v>116</v>
      </c>
      <c r="G42">
        <v>1.05</v>
      </c>
      <c r="H42">
        <v>1.05</v>
      </c>
      <c r="I42">
        <v>1.05</v>
      </c>
      <c r="J42">
        <v>1.05</v>
      </c>
      <c r="K42">
        <v>1.05</v>
      </c>
      <c r="L42">
        <v>1.05</v>
      </c>
      <c r="M42">
        <v>1.05</v>
      </c>
      <c r="O42">
        <v>1.05</v>
      </c>
      <c r="P42">
        <v>1.05</v>
      </c>
      <c r="Q42">
        <v>1.05</v>
      </c>
    </row>
    <row r="45" spans="1:17" x14ac:dyDescent="0.25">
      <c r="B45" t="s">
        <v>124</v>
      </c>
      <c r="G45" s="15">
        <f t="shared" ref="G45:O45" si="0">PRODUCT(G36:G42,G5:G30,(1+G32/10))</f>
        <v>0.89812800000000026</v>
      </c>
      <c r="H45" s="15">
        <f t="shared" si="0"/>
        <v>5.987520000000001E-2</v>
      </c>
      <c r="I45" s="15">
        <f t="shared" si="0"/>
        <v>4.8648600000000002</v>
      </c>
      <c r="J45" s="15">
        <f t="shared" si="0"/>
        <v>0.10478160000000003</v>
      </c>
      <c r="K45" s="15">
        <f t="shared" si="0"/>
        <v>0.10478160000000003</v>
      </c>
      <c r="L45" s="15">
        <f t="shared" si="0"/>
        <v>0.10478160000000003</v>
      </c>
      <c r="M45" s="15">
        <f t="shared" si="0"/>
        <v>6.9854400000000011E-2</v>
      </c>
      <c r="N45" s="15">
        <f t="shared" si="0"/>
        <v>0</v>
      </c>
      <c r="O45" s="15">
        <f t="shared" si="0"/>
        <v>34.927199999999999</v>
      </c>
      <c r="P45" s="15">
        <f t="shared" ref="P45:Q45" si="1">PRODUCT(P36:P42,P5:P30,(1+P32/10))</f>
        <v>54.885600000000004</v>
      </c>
      <c r="Q45" s="15">
        <f t="shared" si="1"/>
        <v>34.927199999999999</v>
      </c>
    </row>
    <row r="48" spans="1:17" x14ac:dyDescent="0.25">
      <c r="G48" s="15">
        <f t="shared" ref="G48:Q48" si="2">IF(G45=0,0,LOG(calib*G45,2))</f>
        <v>13.709283689593265</v>
      </c>
      <c r="H48" s="15">
        <f t="shared" si="2"/>
        <v>9.8023930939847475</v>
      </c>
      <c r="I48" s="15">
        <f t="shared" si="2"/>
        <v>16.146689001900565</v>
      </c>
      <c r="J48" s="15">
        <f t="shared" si="2"/>
        <v>10.609748016042351</v>
      </c>
      <c r="K48" s="15">
        <f t="shared" si="2"/>
        <v>10.609748016042351</v>
      </c>
      <c r="L48" s="15">
        <f t="shared" si="2"/>
        <v>10.609748016042351</v>
      </c>
      <c r="M48" s="15">
        <f t="shared" si="2"/>
        <v>10.024785515321195</v>
      </c>
      <c r="N48" s="15">
        <f t="shared" si="2"/>
        <v>0</v>
      </c>
      <c r="O48" s="15">
        <f t="shared" si="2"/>
        <v>18.99056979998328</v>
      </c>
      <c r="P48" s="15">
        <f t="shared" si="2"/>
        <v>19.642646496562975</v>
      </c>
      <c r="Q48" s="15">
        <f t="shared" si="2"/>
        <v>18.99056979998328</v>
      </c>
    </row>
  </sheetData>
  <mergeCells count="1">
    <mergeCell ref="G2:Q2"/>
  </mergeCells>
  <pageMargins left="0.7" right="0.7" top="0.75" bottom="0.75" header="0.3" footer="0.3"/>
  <pageSetup paperSize="9" orientation="portrait" horizontalDpi="4294967293" verticalDpi="4294967293"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9FE26-FEED-4479-BC24-4B372949602F}">
  <sheetPr>
    <tabColor theme="9" tint="0.39997558519241921"/>
  </sheetPr>
  <dimension ref="A1:R73"/>
  <sheetViews>
    <sheetView topLeftCell="D1" workbookViewId="0">
      <selection activeCell="H3" sqref="H3"/>
    </sheetView>
  </sheetViews>
  <sheetFormatPr defaultRowHeight="15" x14ac:dyDescent="0.25"/>
  <cols>
    <col min="2" max="2" width="91" customWidth="1"/>
    <col min="3" max="3" width="11" customWidth="1"/>
  </cols>
  <sheetData>
    <row r="1" spans="1:18" x14ac:dyDescent="0.25">
      <c r="A1" t="s">
        <v>109</v>
      </c>
    </row>
    <row r="2" spans="1:18" x14ac:dyDescent="0.25">
      <c r="C2" t="s">
        <v>90</v>
      </c>
      <c r="I2" t="s">
        <v>17</v>
      </c>
      <c r="J2" t="s">
        <v>19</v>
      </c>
      <c r="K2" t="s">
        <v>30</v>
      </c>
      <c r="L2" t="s">
        <v>31</v>
      </c>
      <c r="M2" t="s">
        <v>37</v>
      </c>
      <c r="N2" t="s">
        <v>9</v>
      </c>
      <c r="O2" t="s">
        <v>40</v>
      </c>
      <c r="P2" t="s">
        <v>13</v>
      </c>
      <c r="Q2" t="s">
        <v>49</v>
      </c>
      <c r="R2" t="s">
        <v>51</v>
      </c>
    </row>
    <row r="3" spans="1:18" x14ac:dyDescent="0.25">
      <c r="B3" s="1" t="s">
        <v>149</v>
      </c>
      <c r="F3" t="s">
        <v>125</v>
      </c>
      <c r="G3" t="s">
        <v>144</v>
      </c>
      <c r="I3" t="s">
        <v>66</v>
      </c>
      <c r="J3" t="s">
        <v>69</v>
      </c>
      <c r="K3" t="s">
        <v>69</v>
      </c>
      <c r="L3" t="s">
        <v>69</v>
      </c>
      <c r="M3" t="s">
        <v>69</v>
      </c>
      <c r="N3" t="s">
        <v>165</v>
      </c>
      <c r="O3" t="s">
        <v>69</v>
      </c>
      <c r="P3" t="s">
        <v>69</v>
      </c>
      <c r="Q3" t="s">
        <v>69</v>
      </c>
      <c r="R3" t="s">
        <v>69</v>
      </c>
    </row>
    <row r="4" spans="1:18" x14ac:dyDescent="0.25">
      <c r="B4" s="7" t="s">
        <v>2</v>
      </c>
      <c r="C4" s="7"/>
      <c r="D4">
        <v>1</v>
      </c>
      <c r="F4">
        <f>MAX(D4:D7)</f>
        <v>1</v>
      </c>
      <c r="I4" t="s">
        <v>17</v>
      </c>
      <c r="J4" t="s">
        <v>19</v>
      </c>
      <c r="K4" t="s">
        <v>30</v>
      </c>
      <c r="L4" t="s">
        <v>31</v>
      </c>
      <c r="M4" t="s">
        <v>37</v>
      </c>
      <c r="N4" t="s">
        <v>9</v>
      </c>
      <c r="O4" t="s">
        <v>40</v>
      </c>
      <c r="P4" t="s">
        <v>13</v>
      </c>
      <c r="Q4" t="s">
        <v>49</v>
      </c>
      <c r="R4" t="s">
        <v>51</v>
      </c>
    </row>
    <row r="5" spans="1:18" x14ac:dyDescent="0.25">
      <c r="B5" s="7" t="s">
        <v>0</v>
      </c>
      <c r="D5">
        <v>1E-3</v>
      </c>
      <c r="G5">
        <v>1</v>
      </c>
    </row>
    <row r="6" spans="1:18" x14ac:dyDescent="0.25">
      <c r="B6" s="7"/>
      <c r="I6">
        <v>1E-3</v>
      </c>
      <c r="J6">
        <v>1E-3</v>
      </c>
      <c r="K6">
        <v>1E-3</v>
      </c>
      <c r="L6">
        <v>1E-3</v>
      </c>
      <c r="M6">
        <v>1E-3</v>
      </c>
      <c r="N6">
        <v>1E-3</v>
      </c>
      <c r="O6">
        <v>1E-3</v>
      </c>
      <c r="P6">
        <v>1E-3</v>
      </c>
      <c r="Q6">
        <v>1E-3</v>
      </c>
      <c r="R6">
        <v>1E-3</v>
      </c>
    </row>
    <row r="7" spans="1:18" x14ac:dyDescent="0.25">
      <c r="B7" s="7"/>
    </row>
    <row r="9" spans="1:18" x14ac:dyDescent="0.25">
      <c r="B9" s="1" t="s">
        <v>147</v>
      </c>
    </row>
    <row r="10" spans="1:18" x14ac:dyDescent="0.25">
      <c r="B10" s="7" t="s">
        <v>84</v>
      </c>
      <c r="C10" s="7"/>
      <c r="D10">
        <v>0.5</v>
      </c>
      <c r="F10">
        <f>MAX(D10:D13)</f>
        <v>0.5</v>
      </c>
    </row>
    <row r="11" spans="1:18" x14ac:dyDescent="0.25">
      <c r="B11" s="7" t="s">
        <v>85</v>
      </c>
      <c r="D11">
        <v>0.05</v>
      </c>
      <c r="G11">
        <v>0.5</v>
      </c>
    </row>
    <row r="12" spans="1:18" x14ac:dyDescent="0.25">
      <c r="B12" s="7" t="s">
        <v>89</v>
      </c>
      <c r="D12">
        <v>1E-3</v>
      </c>
    </row>
    <row r="13" spans="1:18" x14ac:dyDescent="0.25">
      <c r="B13" s="7" t="s">
        <v>83</v>
      </c>
      <c r="D13">
        <v>0</v>
      </c>
    </row>
    <row r="14" spans="1:18" x14ac:dyDescent="0.25">
      <c r="I14">
        <v>0.05</v>
      </c>
      <c r="J14">
        <v>0.01</v>
      </c>
      <c r="K14">
        <v>0.01</v>
      </c>
      <c r="L14">
        <v>0.01</v>
      </c>
      <c r="M14">
        <v>0.01</v>
      </c>
      <c r="N14">
        <v>0.05</v>
      </c>
      <c r="O14">
        <v>0.01</v>
      </c>
      <c r="P14">
        <v>0.01</v>
      </c>
      <c r="Q14">
        <v>0.01</v>
      </c>
      <c r="R14">
        <v>0.01</v>
      </c>
    </row>
    <row r="15" spans="1:18" x14ac:dyDescent="0.25">
      <c r="B15" s="1" t="s">
        <v>86</v>
      </c>
    </row>
    <row r="16" spans="1:18" x14ac:dyDescent="0.25">
      <c r="B16" t="s">
        <v>80</v>
      </c>
      <c r="C16" t="s">
        <v>80</v>
      </c>
      <c r="D16">
        <v>1.5</v>
      </c>
      <c r="F16" s="1">
        <f>MAX(D16:D17)</f>
        <v>1.5</v>
      </c>
      <c r="G16">
        <v>1.5</v>
      </c>
    </row>
    <row r="17" spans="2:18" x14ac:dyDescent="0.25">
      <c r="B17" t="s">
        <v>81</v>
      </c>
      <c r="D17">
        <v>1</v>
      </c>
    </row>
    <row r="18" spans="2:18" x14ac:dyDescent="0.25">
      <c r="I18">
        <v>1.5</v>
      </c>
      <c r="J18">
        <v>1.5</v>
      </c>
      <c r="K18">
        <v>1.5</v>
      </c>
      <c r="L18">
        <v>1.5</v>
      </c>
      <c r="M18">
        <v>1.5</v>
      </c>
      <c r="N18">
        <v>1.5</v>
      </c>
      <c r="O18">
        <v>1.5</v>
      </c>
      <c r="P18">
        <v>1.5</v>
      </c>
      <c r="Q18">
        <v>1.5</v>
      </c>
      <c r="R18">
        <v>1.5</v>
      </c>
    </row>
    <row r="19" spans="2:18" x14ac:dyDescent="0.25">
      <c r="B19" s="1" t="s">
        <v>87</v>
      </c>
    </row>
    <row r="20" spans="2:18" x14ac:dyDescent="0.25">
      <c r="B20" t="s">
        <v>80</v>
      </c>
      <c r="C20" t="s">
        <v>91</v>
      </c>
      <c r="D20">
        <v>10</v>
      </c>
      <c r="F20" s="1">
        <f>MAX(D20:D21)</f>
        <v>10</v>
      </c>
      <c r="G20">
        <v>10</v>
      </c>
    </row>
    <row r="21" spans="2:18" x14ac:dyDescent="0.25">
      <c r="B21" t="s">
        <v>81</v>
      </c>
      <c r="D21">
        <v>1</v>
      </c>
    </row>
    <row r="22" spans="2:18" x14ac:dyDescent="0.25">
      <c r="I22">
        <v>1</v>
      </c>
      <c r="J22">
        <v>10</v>
      </c>
      <c r="K22">
        <v>1</v>
      </c>
      <c r="L22">
        <v>1</v>
      </c>
      <c r="M22">
        <v>1</v>
      </c>
      <c r="N22" s="3">
        <v>10</v>
      </c>
      <c r="O22" s="3">
        <v>10</v>
      </c>
      <c r="P22" s="3">
        <v>10</v>
      </c>
      <c r="Q22" s="3">
        <v>10</v>
      </c>
      <c r="R22" s="3">
        <v>10</v>
      </c>
    </row>
    <row r="23" spans="2:18" x14ac:dyDescent="0.25">
      <c r="B23" s="1" t="s">
        <v>119</v>
      </c>
    </row>
    <row r="24" spans="2:18" x14ac:dyDescent="0.25">
      <c r="B24" s="12" t="s">
        <v>80</v>
      </c>
      <c r="D24">
        <v>1.5</v>
      </c>
      <c r="F24" s="1">
        <f>MAX(D24:D25)</f>
        <v>1.5</v>
      </c>
      <c r="G24">
        <v>1</v>
      </c>
    </row>
    <row r="25" spans="2:18" x14ac:dyDescent="0.25">
      <c r="B25" s="13" t="s">
        <v>81</v>
      </c>
      <c r="D25">
        <v>1</v>
      </c>
    </row>
    <row r="26" spans="2:18" x14ac:dyDescent="0.25">
      <c r="B26" s="13"/>
      <c r="I26">
        <v>1.5</v>
      </c>
      <c r="J26">
        <v>1</v>
      </c>
      <c r="K26">
        <v>1</v>
      </c>
      <c r="L26">
        <v>1</v>
      </c>
      <c r="M26">
        <v>1</v>
      </c>
      <c r="N26">
        <v>1</v>
      </c>
      <c r="O26">
        <v>1</v>
      </c>
      <c r="P26">
        <v>1</v>
      </c>
      <c r="Q26">
        <v>1</v>
      </c>
      <c r="R26">
        <v>1</v>
      </c>
    </row>
    <row r="27" spans="2:18" x14ac:dyDescent="0.25">
      <c r="B27" s="1" t="s">
        <v>82</v>
      </c>
    </row>
    <row r="28" spans="2:18" x14ac:dyDescent="0.25">
      <c r="B28" t="s">
        <v>121</v>
      </c>
      <c r="D28">
        <v>1</v>
      </c>
      <c r="F28" s="1">
        <f>MAX(D28:D29)</f>
        <v>10</v>
      </c>
    </row>
    <row r="29" spans="2:18" x14ac:dyDescent="0.25">
      <c r="B29" t="s">
        <v>120</v>
      </c>
      <c r="D29">
        <v>10</v>
      </c>
      <c r="G29">
        <v>10</v>
      </c>
    </row>
    <row r="30" spans="2:18" x14ac:dyDescent="0.25">
      <c r="I30">
        <v>10</v>
      </c>
      <c r="J30">
        <v>10</v>
      </c>
      <c r="K30">
        <v>10</v>
      </c>
      <c r="L30">
        <v>10</v>
      </c>
      <c r="M30">
        <v>10</v>
      </c>
      <c r="N30">
        <v>10</v>
      </c>
      <c r="O30">
        <v>10</v>
      </c>
      <c r="P30">
        <v>10</v>
      </c>
      <c r="Q30">
        <v>10</v>
      </c>
      <c r="R30">
        <v>10</v>
      </c>
    </row>
    <row r="31" spans="2:18" x14ac:dyDescent="0.25">
      <c r="B31" s="1" t="s">
        <v>122</v>
      </c>
      <c r="C31" t="s">
        <v>123</v>
      </c>
      <c r="D31">
        <v>20</v>
      </c>
      <c r="F31" s="1">
        <f>MAX(D31:D59)</f>
        <v>20</v>
      </c>
      <c r="G31">
        <v>20</v>
      </c>
    </row>
    <row r="32" spans="2:18" x14ac:dyDescent="0.25">
      <c r="B32" s="1"/>
      <c r="F32" s="1"/>
      <c r="I32">
        <v>10</v>
      </c>
      <c r="J32">
        <v>2</v>
      </c>
      <c r="K32">
        <v>2</v>
      </c>
      <c r="L32">
        <v>4</v>
      </c>
      <c r="M32">
        <v>4</v>
      </c>
      <c r="N32" s="3">
        <v>4</v>
      </c>
      <c r="O32" s="3">
        <v>4</v>
      </c>
      <c r="P32" s="3">
        <v>4</v>
      </c>
      <c r="Q32" s="3">
        <v>4</v>
      </c>
      <c r="R32" s="3">
        <v>4</v>
      </c>
    </row>
    <row r="34" spans="2:18" x14ac:dyDescent="0.25">
      <c r="B34" s="1" t="s">
        <v>107</v>
      </c>
      <c r="G34">
        <v>1</v>
      </c>
    </row>
    <row r="35" spans="2:18" x14ac:dyDescent="0.25">
      <c r="B35" s="10" t="s">
        <v>92</v>
      </c>
      <c r="G35">
        <v>1</v>
      </c>
    </row>
    <row r="36" spans="2:18" x14ac:dyDescent="0.25">
      <c r="B36" t="s">
        <v>131</v>
      </c>
      <c r="G36">
        <v>1</v>
      </c>
    </row>
    <row r="37" spans="2:18" x14ac:dyDescent="0.25">
      <c r="B37" t="s">
        <v>130</v>
      </c>
      <c r="G37">
        <v>1</v>
      </c>
    </row>
    <row r="38" spans="2:18" x14ac:dyDescent="0.25">
      <c r="B38" t="s">
        <v>132</v>
      </c>
      <c r="G38">
        <v>1</v>
      </c>
    </row>
    <row r="39" spans="2:18" x14ac:dyDescent="0.25">
      <c r="B39" s="10" t="s">
        <v>93</v>
      </c>
      <c r="G39">
        <v>1</v>
      </c>
      <c r="I39">
        <v>1</v>
      </c>
      <c r="K39">
        <v>1</v>
      </c>
      <c r="L39">
        <v>1</v>
      </c>
      <c r="M39">
        <v>1</v>
      </c>
      <c r="N39">
        <v>1</v>
      </c>
      <c r="O39">
        <v>1</v>
      </c>
      <c r="P39">
        <v>1</v>
      </c>
      <c r="Q39">
        <v>1</v>
      </c>
      <c r="R39">
        <v>1</v>
      </c>
    </row>
    <row r="40" spans="2:18" x14ac:dyDescent="0.25">
      <c r="B40" s="10" t="s">
        <v>94</v>
      </c>
    </row>
    <row r="41" spans="2:18" x14ac:dyDescent="0.25">
      <c r="B41" s="10" t="s">
        <v>95</v>
      </c>
    </row>
    <row r="42" spans="2:18" x14ac:dyDescent="0.25">
      <c r="B42" s="10" t="s">
        <v>96</v>
      </c>
    </row>
    <row r="43" spans="2:18" x14ac:dyDescent="0.25">
      <c r="B43" s="10" t="s">
        <v>97</v>
      </c>
    </row>
    <row r="44" spans="2:18" x14ac:dyDescent="0.25">
      <c r="B44" s="10" t="s">
        <v>98</v>
      </c>
    </row>
    <row r="45" spans="2:18" x14ac:dyDescent="0.25">
      <c r="B45" s="10" t="s">
        <v>99</v>
      </c>
    </row>
    <row r="46" spans="2:18" x14ac:dyDescent="0.25">
      <c r="B46" s="10" t="s">
        <v>100</v>
      </c>
    </row>
    <row r="47" spans="2:18" x14ac:dyDescent="0.25">
      <c r="B47" s="10" t="s">
        <v>101</v>
      </c>
      <c r="J47">
        <v>1</v>
      </c>
    </row>
    <row r="48" spans="2:18" x14ac:dyDescent="0.25">
      <c r="B48" s="10" t="s">
        <v>102</v>
      </c>
    </row>
    <row r="49" spans="1:18" x14ac:dyDescent="0.25">
      <c r="B49" s="10" t="s">
        <v>103</v>
      </c>
    </row>
    <row r="50" spans="1:18" x14ac:dyDescent="0.25">
      <c r="B50" s="10" t="s">
        <v>104</v>
      </c>
    </row>
    <row r="52" spans="1:18" x14ac:dyDescent="0.25">
      <c r="B52" s="10" t="s">
        <v>108</v>
      </c>
      <c r="D52">
        <f>IF(COUNT(G35,G36,G39,G40,G41,G42)&gt;0,1,0)</f>
        <v>1</v>
      </c>
      <c r="F52" s="1">
        <f>MAX(D52:D53)</f>
        <v>1</v>
      </c>
      <c r="G52">
        <v>1</v>
      </c>
      <c r="I52">
        <f t="shared" ref="I52:P52" si="0">IF(COUNT(I35,I36,I39,I40,I41,I42)&gt;0,1,0)</f>
        <v>1</v>
      </c>
      <c r="J52">
        <f t="shared" si="0"/>
        <v>0</v>
      </c>
      <c r="K52">
        <f t="shared" si="0"/>
        <v>1</v>
      </c>
      <c r="L52">
        <f t="shared" si="0"/>
        <v>1</v>
      </c>
      <c r="M52">
        <f t="shared" si="0"/>
        <v>1</v>
      </c>
      <c r="N52">
        <f t="shared" si="0"/>
        <v>1</v>
      </c>
      <c r="O52">
        <f t="shared" si="0"/>
        <v>1</v>
      </c>
      <c r="P52">
        <f t="shared" si="0"/>
        <v>1</v>
      </c>
      <c r="Q52">
        <f t="shared" ref="Q52:R52" si="1">IF(COUNT(Q35,Q36,Q39,Q40,Q41,Q42)&gt;0,1,0)</f>
        <v>1</v>
      </c>
      <c r="R52">
        <f t="shared" si="1"/>
        <v>1</v>
      </c>
    </row>
    <row r="53" spans="1:18" x14ac:dyDescent="0.25">
      <c r="B53" s="10" t="s">
        <v>133</v>
      </c>
      <c r="D53">
        <f>1-D52</f>
        <v>0</v>
      </c>
      <c r="I53">
        <f t="shared" ref="I53:R53" si="2">1-I52</f>
        <v>0</v>
      </c>
      <c r="J53">
        <f t="shared" si="2"/>
        <v>1</v>
      </c>
      <c r="K53">
        <f t="shared" si="2"/>
        <v>0</v>
      </c>
      <c r="L53">
        <f t="shared" si="2"/>
        <v>0</v>
      </c>
      <c r="M53">
        <f t="shared" si="2"/>
        <v>0</v>
      </c>
      <c r="N53">
        <f t="shared" si="2"/>
        <v>0</v>
      </c>
      <c r="O53">
        <f t="shared" si="2"/>
        <v>0</v>
      </c>
      <c r="P53">
        <f t="shared" si="2"/>
        <v>0</v>
      </c>
      <c r="Q53">
        <f t="shared" si="2"/>
        <v>0</v>
      </c>
      <c r="R53">
        <f t="shared" si="2"/>
        <v>0</v>
      </c>
    </row>
    <row r="54" spans="1:18" x14ac:dyDescent="0.25">
      <c r="B54" s="10" t="s">
        <v>148</v>
      </c>
      <c r="F54">
        <v>1</v>
      </c>
      <c r="G54">
        <f>IF(G52=1,1,0.3)</f>
        <v>1</v>
      </c>
      <c r="I54">
        <f t="shared" ref="I54:P54" si="3">IF(I52=1,1,0.3)</f>
        <v>1</v>
      </c>
      <c r="J54">
        <f t="shared" si="3"/>
        <v>0.3</v>
      </c>
      <c r="K54">
        <f t="shared" si="3"/>
        <v>1</v>
      </c>
      <c r="L54">
        <f t="shared" si="3"/>
        <v>1</v>
      </c>
      <c r="M54">
        <f t="shared" si="3"/>
        <v>1</v>
      </c>
      <c r="N54">
        <f t="shared" si="3"/>
        <v>1</v>
      </c>
      <c r="O54">
        <f t="shared" si="3"/>
        <v>1</v>
      </c>
      <c r="P54">
        <f t="shared" si="3"/>
        <v>1</v>
      </c>
      <c r="Q54">
        <f t="shared" ref="Q54:R54" si="4">IF(Q52=1,1,0.3)</f>
        <v>1</v>
      </c>
      <c r="R54">
        <f t="shared" si="4"/>
        <v>1</v>
      </c>
    </row>
    <row r="57" spans="1:18" x14ac:dyDescent="0.25">
      <c r="A57" s="1" t="s">
        <v>135</v>
      </c>
    </row>
    <row r="58" spans="1:18" x14ac:dyDescent="0.25">
      <c r="B58" s="14" t="s">
        <v>114</v>
      </c>
    </row>
    <row r="59" spans="1:18" x14ac:dyDescent="0.25">
      <c r="B59" s="14" t="s">
        <v>80</v>
      </c>
      <c r="D59">
        <v>1.5</v>
      </c>
      <c r="F59" s="1">
        <f>MAX(D59:D60)</f>
        <v>1.5</v>
      </c>
      <c r="G59">
        <v>1.5</v>
      </c>
    </row>
    <row r="60" spans="1:18" x14ac:dyDescent="0.25">
      <c r="B60" s="14" t="s">
        <v>81</v>
      </c>
      <c r="D60">
        <v>1</v>
      </c>
    </row>
    <row r="61" spans="1:18" x14ac:dyDescent="0.25">
      <c r="B61" s="14"/>
      <c r="I61">
        <v>1.2</v>
      </c>
      <c r="J61">
        <v>1.2</v>
      </c>
      <c r="K61">
        <v>1.2</v>
      </c>
      <c r="L61">
        <v>1.2</v>
      </c>
      <c r="M61">
        <v>1.2</v>
      </c>
      <c r="N61">
        <v>1.2</v>
      </c>
      <c r="O61">
        <v>1.2</v>
      </c>
      <c r="P61">
        <v>1.2</v>
      </c>
      <c r="Q61">
        <v>1.2</v>
      </c>
      <c r="R61">
        <v>1.2</v>
      </c>
    </row>
    <row r="62" spans="1:18" x14ac:dyDescent="0.25">
      <c r="B62" s="14" t="s">
        <v>115</v>
      </c>
    </row>
    <row r="63" spans="1:18" x14ac:dyDescent="0.25">
      <c r="B63" s="14" t="s">
        <v>80</v>
      </c>
      <c r="D63">
        <v>2</v>
      </c>
      <c r="F63" s="1">
        <f>MAX(D63:D64)</f>
        <v>2</v>
      </c>
      <c r="G63">
        <v>1</v>
      </c>
    </row>
    <row r="64" spans="1:18" x14ac:dyDescent="0.25">
      <c r="B64" s="14" t="s">
        <v>81</v>
      </c>
      <c r="D64">
        <v>1</v>
      </c>
    </row>
    <row r="65" spans="2:18" x14ac:dyDescent="0.25">
      <c r="B65" s="14"/>
      <c r="I65">
        <v>1.1000000000000001</v>
      </c>
      <c r="J65">
        <v>1.1000000000000001</v>
      </c>
      <c r="K65">
        <v>1.1000000000000001</v>
      </c>
      <c r="L65">
        <v>1.1000000000000001</v>
      </c>
      <c r="M65">
        <v>1.1000000000000001</v>
      </c>
      <c r="N65">
        <v>1.1000000000000001</v>
      </c>
      <c r="O65">
        <v>1.1000000000000001</v>
      </c>
      <c r="P65">
        <v>1.1000000000000001</v>
      </c>
      <c r="Q65">
        <v>1.1000000000000001</v>
      </c>
      <c r="R65">
        <v>1.1000000000000001</v>
      </c>
    </row>
    <row r="66" spans="2:18" x14ac:dyDescent="0.25">
      <c r="B66" s="14" t="s">
        <v>116</v>
      </c>
    </row>
    <row r="67" spans="2:18" x14ac:dyDescent="0.25">
      <c r="B67" s="14" t="s">
        <v>80</v>
      </c>
      <c r="D67">
        <v>2</v>
      </c>
      <c r="F67" s="1">
        <f>MAX(D67:D68)</f>
        <v>2</v>
      </c>
      <c r="G67">
        <v>1</v>
      </c>
    </row>
    <row r="68" spans="2:18" x14ac:dyDescent="0.25">
      <c r="B68" s="14" t="s">
        <v>81</v>
      </c>
      <c r="D68">
        <v>1</v>
      </c>
    </row>
    <row r="69" spans="2:18" x14ac:dyDescent="0.25">
      <c r="I69">
        <v>1.05</v>
      </c>
      <c r="J69">
        <v>1.05</v>
      </c>
      <c r="K69">
        <v>1.05</v>
      </c>
      <c r="L69">
        <v>1.05</v>
      </c>
      <c r="M69">
        <v>1.05</v>
      </c>
      <c r="N69">
        <v>1.05</v>
      </c>
      <c r="O69">
        <v>1.05</v>
      </c>
      <c r="P69">
        <v>1.05</v>
      </c>
      <c r="Q69">
        <v>1.05</v>
      </c>
      <c r="R69">
        <v>1.05</v>
      </c>
    </row>
    <row r="70" spans="2:18" x14ac:dyDescent="0.25">
      <c r="F70">
        <f>PRODUCT(F54:F67,F4:F29,(1+F31/10))</f>
        <v>2025</v>
      </c>
      <c r="G70">
        <f>PRODUCT(G54:G67,G4:G29,(1+G31/10))</f>
        <v>337.5</v>
      </c>
      <c r="I70">
        <f t="shared" ref="I70:R70" si="5">PRODUCT(I54:I69,I4:I30,(1+I32/10))</f>
        <v>3.1185000000000002E-3</v>
      </c>
      <c r="J70">
        <f t="shared" si="5"/>
        <v>7.4844000000000017E-4</v>
      </c>
      <c r="K70">
        <f t="shared" si="5"/>
        <v>2.4948E-4</v>
      </c>
      <c r="L70">
        <f t="shared" si="5"/>
        <v>2.9105999999999999E-4</v>
      </c>
      <c r="M70">
        <f t="shared" si="5"/>
        <v>2.9105999999999999E-4</v>
      </c>
      <c r="N70">
        <f t="shared" si="5"/>
        <v>1.4553000000000002E-2</v>
      </c>
      <c r="O70">
        <f t="shared" si="5"/>
        <v>2.9106000000000002E-3</v>
      </c>
      <c r="P70">
        <f t="shared" si="5"/>
        <v>2.9106000000000002E-3</v>
      </c>
      <c r="Q70">
        <f t="shared" si="5"/>
        <v>2.9106000000000002E-3</v>
      </c>
      <c r="R70">
        <f t="shared" si="5"/>
        <v>2.9106000000000002E-3</v>
      </c>
    </row>
    <row r="73" spans="2:18" x14ac:dyDescent="0.25">
      <c r="F73" s="15">
        <f t="shared" ref="F73:G73" si="6">LOG(calib*F70,2)</f>
        <v>24.847996906554954</v>
      </c>
      <c r="G73" s="15">
        <f t="shared" si="6"/>
        <v>22.263034405833796</v>
      </c>
      <c r="H73" s="15"/>
      <c r="I73" s="15">
        <f t="shared" ref="I73:R73" si="7">LOG(calib*I70,2)</f>
        <v>5.5393586881509522</v>
      </c>
      <c r="J73" s="15">
        <f t="shared" si="7"/>
        <v>3.4804649990973848</v>
      </c>
      <c r="K73" s="15">
        <f t="shared" si="7"/>
        <v>1.8955024983762283</v>
      </c>
      <c r="L73" s="15">
        <f t="shared" si="7"/>
        <v>2.117894919712676</v>
      </c>
      <c r="M73" s="15">
        <f t="shared" si="7"/>
        <v>2.117894919712676</v>
      </c>
      <c r="N73" s="15">
        <f t="shared" si="7"/>
        <v>7.7617511094874008</v>
      </c>
      <c r="O73" s="15">
        <f t="shared" si="7"/>
        <v>5.4398230146000381</v>
      </c>
      <c r="P73" s="15">
        <f t="shared" si="7"/>
        <v>5.4398230146000381</v>
      </c>
      <c r="Q73" s="15">
        <f t="shared" si="7"/>
        <v>5.4398230146000381</v>
      </c>
      <c r="R73" s="15">
        <f t="shared" si="7"/>
        <v>5.4398230146000381</v>
      </c>
    </row>
  </sheetData>
  <phoneticPr fontId="4" type="noConversion"/>
  <pageMargins left="0.7" right="0.7" top="0.75" bottom="0.75" header="0.3" footer="0.3"/>
  <pageSetup paperSize="9" orientation="portrait" horizontalDpi="4294967293" verticalDpi="4294967293"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4D649-0498-4E6A-BE57-48D64B47C39F}">
  <sheetPr>
    <tabColor theme="9" tint="0.39997558519241921"/>
  </sheetPr>
  <dimension ref="A1:O45"/>
  <sheetViews>
    <sheetView topLeftCell="C1" workbookViewId="0">
      <selection activeCell="H3" sqref="H3"/>
    </sheetView>
  </sheetViews>
  <sheetFormatPr defaultRowHeight="15" x14ac:dyDescent="0.25"/>
  <cols>
    <col min="2" max="2" width="91" customWidth="1"/>
    <col min="3" max="3" width="11" customWidth="1"/>
  </cols>
  <sheetData>
    <row r="1" spans="1:15" x14ac:dyDescent="0.25">
      <c r="A1" t="s">
        <v>143</v>
      </c>
    </row>
    <row r="2" spans="1:15" x14ac:dyDescent="0.25">
      <c r="C2" t="s">
        <v>90</v>
      </c>
      <c r="I2" t="s">
        <v>71</v>
      </c>
      <c r="J2" t="s">
        <v>154</v>
      </c>
      <c r="K2" t="s">
        <v>164</v>
      </c>
      <c r="L2" t="s">
        <v>166</v>
      </c>
      <c r="M2" t="s">
        <v>172</v>
      </c>
      <c r="N2" t="s">
        <v>173</v>
      </c>
      <c r="O2" t="s">
        <v>172</v>
      </c>
    </row>
    <row r="3" spans="1:15" x14ac:dyDescent="0.25">
      <c r="B3" s="1" t="s">
        <v>137</v>
      </c>
      <c r="F3" t="s">
        <v>125</v>
      </c>
      <c r="G3" t="s">
        <v>144</v>
      </c>
      <c r="I3" t="s">
        <v>21</v>
      </c>
      <c r="J3" t="s">
        <v>34</v>
      </c>
      <c r="K3" t="s">
        <v>8</v>
      </c>
      <c r="L3" t="s">
        <v>10</v>
      </c>
      <c r="M3" t="s">
        <v>53</v>
      </c>
      <c r="N3" t="s">
        <v>63</v>
      </c>
      <c r="O3" t="s">
        <v>61</v>
      </c>
    </row>
    <row r="4" spans="1:15" x14ac:dyDescent="0.25">
      <c r="B4" s="7" t="s">
        <v>84</v>
      </c>
      <c r="C4" s="7"/>
      <c r="D4">
        <v>0.5</v>
      </c>
      <c r="F4">
        <f>MAX(D4:D7)</f>
        <v>0.5</v>
      </c>
    </row>
    <row r="5" spans="1:15" x14ac:dyDescent="0.25">
      <c r="B5" s="7" t="s">
        <v>85</v>
      </c>
      <c r="D5">
        <v>0.05</v>
      </c>
      <c r="G5">
        <v>0.05</v>
      </c>
    </row>
    <row r="6" spans="1:15" x14ac:dyDescent="0.25">
      <c r="B6" s="7" t="s">
        <v>89</v>
      </c>
      <c r="D6">
        <v>1E-3</v>
      </c>
    </row>
    <row r="7" spans="1:15" x14ac:dyDescent="0.25">
      <c r="B7" s="7" t="s">
        <v>83</v>
      </c>
      <c r="D7">
        <v>0</v>
      </c>
    </row>
    <row r="8" spans="1:15" x14ac:dyDescent="0.25">
      <c r="I8">
        <v>0</v>
      </c>
      <c r="J8">
        <v>0.05</v>
      </c>
      <c r="K8">
        <v>1E-3</v>
      </c>
      <c r="L8">
        <v>0.05</v>
      </c>
      <c r="M8">
        <v>1E-3</v>
      </c>
      <c r="N8">
        <v>0.5</v>
      </c>
      <c r="O8">
        <v>1E-3</v>
      </c>
    </row>
    <row r="9" spans="1:15" x14ac:dyDescent="0.25">
      <c r="B9" s="1" t="s">
        <v>138</v>
      </c>
    </row>
    <row r="10" spans="1:15" x14ac:dyDescent="0.25">
      <c r="B10" s="7" t="s">
        <v>139</v>
      </c>
      <c r="C10" s="7"/>
      <c r="D10">
        <v>0.1</v>
      </c>
      <c r="F10">
        <f>MAX(D10:D13)</f>
        <v>10</v>
      </c>
    </row>
    <row r="11" spans="1:15" x14ac:dyDescent="0.25">
      <c r="B11" s="7" t="s">
        <v>141</v>
      </c>
      <c r="D11">
        <v>0.3</v>
      </c>
      <c r="G11">
        <v>3</v>
      </c>
    </row>
    <row r="12" spans="1:15" x14ac:dyDescent="0.25">
      <c r="B12" s="7" t="s">
        <v>140</v>
      </c>
      <c r="D12">
        <v>1</v>
      </c>
    </row>
    <row r="13" spans="1:15" x14ac:dyDescent="0.25">
      <c r="B13" s="7" t="s">
        <v>142</v>
      </c>
      <c r="D13">
        <v>10</v>
      </c>
    </row>
    <row r="14" spans="1:15" x14ac:dyDescent="0.25">
      <c r="J14">
        <v>1</v>
      </c>
      <c r="K14">
        <v>10</v>
      </c>
      <c r="L14">
        <v>1</v>
      </c>
      <c r="M14">
        <v>0.3</v>
      </c>
      <c r="N14">
        <v>0.1</v>
      </c>
      <c r="O14">
        <v>0.3</v>
      </c>
    </row>
    <row r="15" spans="1:15" x14ac:dyDescent="0.25">
      <c r="B15" s="1" t="s">
        <v>86</v>
      </c>
    </row>
    <row r="16" spans="1:15" x14ac:dyDescent="0.25">
      <c r="B16" t="s">
        <v>80</v>
      </c>
      <c r="C16" t="s">
        <v>80</v>
      </c>
      <c r="D16">
        <v>1.5</v>
      </c>
      <c r="F16" s="1">
        <f>MAX(D16:D17)</f>
        <v>1.5</v>
      </c>
      <c r="G16">
        <v>1.5</v>
      </c>
    </row>
    <row r="17" spans="1:15" x14ac:dyDescent="0.25">
      <c r="B17" t="s">
        <v>81</v>
      </c>
      <c r="D17">
        <v>1</v>
      </c>
    </row>
    <row r="18" spans="1:15" x14ac:dyDescent="0.25">
      <c r="J18">
        <v>1.5</v>
      </c>
      <c r="K18">
        <v>1.5</v>
      </c>
      <c r="L18">
        <v>1.5</v>
      </c>
      <c r="M18">
        <v>1.5</v>
      </c>
      <c r="N18">
        <v>1</v>
      </c>
      <c r="O18">
        <v>1.5</v>
      </c>
    </row>
    <row r="19" spans="1:15" x14ac:dyDescent="0.25">
      <c r="B19" s="1" t="s">
        <v>87</v>
      </c>
    </row>
    <row r="20" spans="1:15" x14ac:dyDescent="0.25">
      <c r="B20" t="s">
        <v>80</v>
      </c>
      <c r="C20" t="s">
        <v>91</v>
      </c>
      <c r="D20">
        <v>10</v>
      </c>
      <c r="F20" s="1">
        <f>MAX(D20:D21)</f>
        <v>10</v>
      </c>
      <c r="G20">
        <v>10</v>
      </c>
    </row>
    <row r="21" spans="1:15" x14ac:dyDescent="0.25">
      <c r="B21" t="s">
        <v>81</v>
      </c>
      <c r="D21">
        <v>1</v>
      </c>
      <c r="J21">
        <v>1</v>
      </c>
      <c r="K21">
        <v>1</v>
      </c>
      <c r="L21">
        <v>10</v>
      </c>
      <c r="M21">
        <v>10</v>
      </c>
      <c r="N21">
        <v>1</v>
      </c>
      <c r="O21">
        <v>10</v>
      </c>
    </row>
    <row r="23" spans="1:15" x14ac:dyDescent="0.25">
      <c r="B23" s="1" t="s">
        <v>119</v>
      </c>
    </row>
    <row r="24" spans="1:15" x14ac:dyDescent="0.25">
      <c r="B24" s="12" t="s">
        <v>80</v>
      </c>
      <c r="D24">
        <v>1.5</v>
      </c>
      <c r="F24" s="1">
        <f>MAX(D24:D25)</f>
        <v>1.5</v>
      </c>
      <c r="G24">
        <v>1</v>
      </c>
    </row>
    <row r="25" spans="1:15" x14ac:dyDescent="0.25">
      <c r="B25" s="13" t="s">
        <v>81</v>
      </c>
      <c r="D25">
        <v>1</v>
      </c>
    </row>
    <row r="26" spans="1:15" x14ac:dyDescent="0.25">
      <c r="B26" s="13"/>
      <c r="J26">
        <v>1</v>
      </c>
      <c r="K26">
        <v>1</v>
      </c>
      <c r="L26">
        <v>1</v>
      </c>
      <c r="M26">
        <v>1</v>
      </c>
      <c r="N26">
        <v>1</v>
      </c>
      <c r="O26">
        <v>1</v>
      </c>
    </row>
    <row r="27" spans="1:15" x14ac:dyDescent="0.25">
      <c r="B27" s="1" t="s">
        <v>82</v>
      </c>
    </row>
    <row r="28" spans="1:15" x14ac:dyDescent="0.25">
      <c r="B28" t="s">
        <v>121</v>
      </c>
      <c r="D28">
        <v>1</v>
      </c>
      <c r="F28" s="1">
        <f>MAX(D28:D29)</f>
        <v>10</v>
      </c>
    </row>
    <row r="29" spans="1:15" x14ac:dyDescent="0.25">
      <c r="B29" t="s">
        <v>120</v>
      </c>
      <c r="D29">
        <v>10</v>
      </c>
      <c r="G29">
        <v>10</v>
      </c>
    </row>
    <row r="30" spans="1:15" x14ac:dyDescent="0.25">
      <c r="J30">
        <v>10</v>
      </c>
      <c r="K30">
        <v>10</v>
      </c>
      <c r="L30">
        <v>10</v>
      </c>
      <c r="M30">
        <v>10</v>
      </c>
      <c r="N30">
        <v>10</v>
      </c>
      <c r="O30">
        <v>10</v>
      </c>
    </row>
    <row r="32" spans="1:15" x14ac:dyDescent="0.25">
      <c r="A32" s="1" t="s">
        <v>135</v>
      </c>
      <c r="E32" t="s">
        <v>136</v>
      </c>
    </row>
    <row r="33" spans="2:15" x14ac:dyDescent="0.25">
      <c r="B33" s="14" t="s">
        <v>113</v>
      </c>
      <c r="E33" s="1">
        <v>1.2</v>
      </c>
      <c r="F33">
        <f>E33</f>
        <v>1.2</v>
      </c>
      <c r="G33">
        <f>E33</f>
        <v>1.2</v>
      </c>
      <c r="J33">
        <v>1.2</v>
      </c>
      <c r="K33">
        <v>1.2</v>
      </c>
      <c r="L33">
        <v>1.2</v>
      </c>
      <c r="M33">
        <v>1.2</v>
      </c>
      <c r="N33" t="s">
        <v>47</v>
      </c>
      <c r="O33">
        <v>1.2</v>
      </c>
    </row>
    <row r="34" spans="2:15" x14ac:dyDescent="0.25">
      <c r="B34" s="14"/>
    </row>
    <row r="35" spans="2:15" x14ac:dyDescent="0.25">
      <c r="B35" s="14" t="s">
        <v>114</v>
      </c>
      <c r="E35" s="1">
        <v>1.2</v>
      </c>
      <c r="F35">
        <f>E35</f>
        <v>1.2</v>
      </c>
      <c r="G35">
        <f>E35</f>
        <v>1.2</v>
      </c>
      <c r="J35">
        <v>1.2</v>
      </c>
      <c r="K35">
        <v>1.2</v>
      </c>
      <c r="L35">
        <v>1.2</v>
      </c>
      <c r="M35">
        <v>1.2</v>
      </c>
      <c r="N35">
        <v>1.2</v>
      </c>
      <c r="O35">
        <v>1.2</v>
      </c>
    </row>
    <row r="36" spans="2:15" x14ac:dyDescent="0.25">
      <c r="B36" s="14"/>
    </row>
    <row r="37" spans="2:15" x14ac:dyDescent="0.25">
      <c r="B37" s="14" t="s">
        <v>115</v>
      </c>
      <c r="E37">
        <v>1.1000000000000001</v>
      </c>
      <c r="F37">
        <f>E37</f>
        <v>1.1000000000000001</v>
      </c>
      <c r="G37">
        <f>E37</f>
        <v>1.1000000000000001</v>
      </c>
      <c r="J37">
        <v>1.1000000000000001</v>
      </c>
      <c r="K37">
        <v>1.1000000000000001</v>
      </c>
      <c r="L37">
        <v>1.1000000000000001</v>
      </c>
      <c r="M37">
        <v>1.1000000000000001</v>
      </c>
      <c r="N37">
        <v>1.1000000000000001</v>
      </c>
      <c r="O37">
        <v>1.1000000000000001</v>
      </c>
    </row>
    <row r="38" spans="2:15" x14ac:dyDescent="0.25">
      <c r="B38" s="14"/>
    </row>
    <row r="39" spans="2:15" x14ac:dyDescent="0.25">
      <c r="B39" s="14" t="s">
        <v>116</v>
      </c>
      <c r="E39">
        <v>1.05</v>
      </c>
      <c r="F39">
        <f>E39</f>
        <v>1.05</v>
      </c>
      <c r="G39">
        <f>E39</f>
        <v>1.05</v>
      </c>
      <c r="J39">
        <v>1.05</v>
      </c>
      <c r="K39">
        <v>1.05</v>
      </c>
      <c r="L39">
        <v>1.05</v>
      </c>
      <c r="M39">
        <v>1.05</v>
      </c>
      <c r="N39">
        <v>1.05</v>
      </c>
      <c r="O39">
        <v>1.05</v>
      </c>
    </row>
    <row r="42" spans="2:15" x14ac:dyDescent="0.25">
      <c r="B42" t="s">
        <v>124</v>
      </c>
      <c r="F42">
        <f>PRODUCT(F4:F29,F33:F39)</f>
        <v>1871.1000000000004</v>
      </c>
      <c r="G42">
        <f>PRODUCT(G4:G29,G33:G39)</f>
        <v>37.422000000000011</v>
      </c>
      <c r="I42">
        <f t="shared" ref="I42:N42" si="0">PRODUCT(I4:I30,I33:I39)</f>
        <v>0</v>
      </c>
      <c r="J42">
        <f t="shared" si="0"/>
        <v>1.2474000000000003</v>
      </c>
      <c r="K42">
        <f t="shared" si="0"/>
        <v>0.24948000000000001</v>
      </c>
      <c r="L42">
        <f t="shared" si="0"/>
        <v>12.474</v>
      </c>
      <c r="M42">
        <f t="shared" si="0"/>
        <v>7.4843999999999994E-2</v>
      </c>
      <c r="N42">
        <f t="shared" si="0"/>
        <v>0.69300000000000006</v>
      </c>
      <c r="O42">
        <f t="shared" ref="O42" si="1">PRODUCT(O4:O30,O33:O39)</f>
        <v>7.4843999999999994E-2</v>
      </c>
    </row>
    <row r="45" spans="2:15" x14ac:dyDescent="0.25">
      <c r="F45" s="15">
        <f>IF(F42=0,0,LOG(calib*F42,2))</f>
        <v>24.733961663308921</v>
      </c>
      <c r="G45" s="15">
        <f>IF(G42=0,0,LOG(calib*G42,2))</f>
        <v>19.090105473534194</v>
      </c>
      <c r="H45" s="15"/>
      <c r="I45" s="15">
        <f t="shared" ref="I45:O45" si="2">IF(I42=0,0,LOG(calib*I42,2))</f>
        <v>0</v>
      </c>
      <c r="J45" s="15">
        <f t="shared" si="2"/>
        <v>14.183214877925678</v>
      </c>
      <c r="K45" s="15">
        <f t="shared" si="2"/>
        <v>11.861286783038315</v>
      </c>
      <c r="L45" s="15">
        <f t="shared" si="2"/>
        <v>17.50514297281304</v>
      </c>
      <c r="M45" s="15">
        <f t="shared" si="2"/>
        <v>10.124321188872109</v>
      </c>
      <c r="N45" s="15">
        <f t="shared" si="2"/>
        <v>13.335217971370728</v>
      </c>
      <c r="O45" s="15">
        <f t="shared" si="2"/>
        <v>10.124321188872109</v>
      </c>
    </row>
  </sheetData>
  <pageMargins left="0.7" right="0.7" top="0.75" bottom="0.75" header="0.3" footer="0.3"/>
  <pageSetup paperSize="9" orientation="portrait" horizontalDpi="4294967293" verticalDpi="4294967293"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33531-87DF-4BA2-896E-45D3BBC08F2C}">
  <sheetPr>
    <tabColor theme="9" tint="0.39997558519241921"/>
  </sheetPr>
  <dimension ref="A1:I70"/>
  <sheetViews>
    <sheetView workbookViewId="0">
      <selection activeCell="H3" sqref="H3"/>
    </sheetView>
  </sheetViews>
  <sheetFormatPr defaultRowHeight="15" x14ac:dyDescent="0.25"/>
  <cols>
    <col min="2" max="2" width="91" customWidth="1"/>
    <col min="3" max="3" width="11" customWidth="1"/>
  </cols>
  <sheetData>
    <row r="1" spans="1:9" x14ac:dyDescent="0.25">
      <c r="A1" t="s">
        <v>117</v>
      </c>
    </row>
    <row r="2" spans="1:9" x14ac:dyDescent="0.25">
      <c r="C2" t="s">
        <v>90</v>
      </c>
      <c r="I2" t="s">
        <v>156</v>
      </c>
    </row>
    <row r="3" spans="1:9" x14ac:dyDescent="0.25">
      <c r="B3" s="1" t="s">
        <v>127</v>
      </c>
      <c r="E3" t="s">
        <v>128</v>
      </c>
      <c r="F3" t="s">
        <v>125</v>
      </c>
      <c r="G3" t="s">
        <v>129</v>
      </c>
      <c r="I3" t="s">
        <v>36</v>
      </c>
    </row>
    <row r="4" spans="1:9" x14ac:dyDescent="0.25">
      <c r="B4" s="1" t="s">
        <v>118</v>
      </c>
    </row>
    <row r="5" spans="1:9" x14ac:dyDescent="0.25">
      <c r="B5" s="7" t="s">
        <v>77</v>
      </c>
      <c r="C5" s="7" t="s">
        <v>79</v>
      </c>
      <c r="D5">
        <v>0.2</v>
      </c>
      <c r="F5">
        <v>1</v>
      </c>
    </row>
    <row r="6" spans="1:9" x14ac:dyDescent="0.25">
      <c r="B6" s="7" t="s">
        <v>78</v>
      </c>
      <c r="D6">
        <v>0.6</v>
      </c>
      <c r="G6">
        <v>0.6</v>
      </c>
    </row>
    <row r="7" spans="1:9" x14ac:dyDescent="0.25">
      <c r="B7" s="7" t="s">
        <v>79</v>
      </c>
      <c r="D7">
        <v>1</v>
      </c>
      <c r="I7">
        <v>1</v>
      </c>
    </row>
    <row r="9" spans="1:9" x14ac:dyDescent="0.25">
      <c r="B9" s="1" t="s">
        <v>86</v>
      </c>
    </row>
    <row r="10" spans="1:9" x14ac:dyDescent="0.25">
      <c r="B10" t="s">
        <v>80</v>
      </c>
      <c r="C10" t="s">
        <v>80</v>
      </c>
      <c r="D10">
        <v>5</v>
      </c>
      <c r="F10" s="1">
        <f>MAX(D10:D11)</f>
        <v>5</v>
      </c>
      <c r="G10">
        <v>5</v>
      </c>
    </row>
    <row r="11" spans="1:9" x14ac:dyDescent="0.25">
      <c r="B11" t="s">
        <v>81</v>
      </c>
      <c r="D11">
        <v>1</v>
      </c>
    </row>
    <row r="12" spans="1:9" x14ac:dyDescent="0.25">
      <c r="I12">
        <v>1</v>
      </c>
    </row>
    <row r="13" spans="1:9" x14ac:dyDescent="0.25">
      <c r="B13" s="1" t="s">
        <v>87</v>
      </c>
    </row>
    <row r="14" spans="1:9" x14ac:dyDescent="0.25">
      <c r="B14" t="s">
        <v>80</v>
      </c>
      <c r="C14" t="s">
        <v>91</v>
      </c>
      <c r="D14">
        <v>10</v>
      </c>
      <c r="F14" s="1">
        <f>MAX(D14:D15)</f>
        <v>10</v>
      </c>
      <c r="G14">
        <v>10</v>
      </c>
    </row>
    <row r="15" spans="1:9" x14ac:dyDescent="0.25">
      <c r="B15" t="s">
        <v>81</v>
      </c>
      <c r="D15">
        <v>1</v>
      </c>
    </row>
    <row r="16" spans="1:9" x14ac:dyDescent="0.25">
      <c r="I16">
        <v>1</v>
      </c>
    </row>
    <row r="17" spans="2:9" x14ac:dyDescent="0.25">
      <c r="B17" s="1" t="s">
        <v>119</v>
      </c>
    </row>
    <row r="18" spans="2:9" x14ac:dyDescent="0.25">
      <c r="B18" s="12" t="s">
        <v>80</v>
      </c>
      <c r="D18">
        <v>1.5</v>
      </c>
      <c r="F18" s="1">
        <f>MAX(D18:D19)</f>
        <v>1.5</v>
      </c>
      <c r="G18">
        <v>1</v>
      </c>
    </row>
    <row r="19" spans="2:9" x14ac:dyDescent="0.25">
      <c r="B19" s="13" t="s">
        <v>81</v>
      </c>
      <c r="D19">
        <v>1</v>
      </c>
      <c r="I19">
        <v>1</v>
      </c>
    </row>
    <row r="20" spans="2:9" x14ac:dyDescent="0.25">
      <c r="B20" s="13"/>
    </row>
    <row r="21" spans="2:9" x14ac:dyDescent="0.25">
      <c r="B21" s="1" t="s">
        <v>82</v>
      </c>
    </row>
    <row r="22" spans="2:9" x14ac:dyDescent="0.25">
      <c r="B22" t="s">
        <v>121</v>
      </c>
      <c r="D22">
        <v>1</v>
      </c>
      <c r="F22" s="1">
        <f>MAX(D22:D23)</f>
        <v>10</v>
      </c>
    </row>
    <row r="23" spans="2:9" x14ac:dyDescent="0.25">
      <c r="B23" t="s">
        <v>120</v>
      </c>
      <c r="D23">
        <v>10</v>
      </c>
      <c r="G23">
        <v>10</v>
      </c>
    </row>
    <row r="24" spans="2:9" x14ac:dyDescent="0.25">
      <c r="I24">
        <v>10</v>
      </c>
    </row>
    <row r="25" spans="2:9" x14ac:dyDescent="0.25">
      <c r="B25" s="1" t="s">
        <v>122</v>
      </c>
      <c r="C25" t="s">
        <v>123</v>
      </c>
      <c r="D25">
        <v>20</v>
      </c>
      <c r="F25" s="1">
        <f>MAX(D25:D53)</f>
        <v>20</v>
      </c>
      <c r="G25">
        <v>20</v>
      </c>
    </row>
    <row r="26" spans="2:9" x14ac:dyDescent="0.25">
      <c r="B26" s="1"/>
      <c r="F26" s="1"/>
      <c r="I26">
        <v>20</v>
      </c>
    </row>
    <row r="27" spans="2:9" x14ac:dyDescent="0.25">
      <c r="B27" s="1" t="s">
        <v>107</v>
      </c>
      <c r="F27">
        <v>1</v>
      </c>
    </row>
    <row r="28" spans="2:9" x14ac:dyDescent="0.25">
      <c r="B28" s="10" t="s">
        <v>92</v>
      </c>
      <c r="F28">
        <v>1</v>
      </c>
    </row>
    <row r="29" spans="2:9" x14ac:dyDescent="0.25">
      <c r="B29" t="s">
        <v>131</v>
      </c>
      <c r="F29">
        <v>1</v>
      </c>
    </row>
    <row r="30" spans="2:9" x14ac:dyDescent="0.25">
      <c r="B30" t="s">
        <v>130</v>
      </c>
      <c r="F30">
        <v>1</v>
      </c>
    </row>
    <row r="31" spans="2:9" x14ac:dyDescent="0.25">
      <c r="B31" t="s">
        <v>132</v>
      </c>
      <c r="F31">
        <v>1</v>
      </c>
    </row>
    <row r="32" spans="2:9" x14ac:dyDescent="0.25">
      <c r="B32" s="10" t="s">
        <v>93</v>
      </c>
      <c r="F32">
        <v>1</v>
      </c>
      <c r="I32">
        <v>1</v>
      </c>
    </row>
    <row r="33" spans="1:9" x14ac:dyDescent="0.25">
      <c r="B33" s="10" t="s">
        <v>94</v>
      </c>
    </row>
    <row r="34" spans="1:9" x14ac:dyDescent="0.25">
      <c r="B34" s="10" t="s">
        <v>95</v>
      </c>
    </row>
    <row r="35" spans="1:9" x14ac:dyDescent="0.25">
      <c r="B35" s="10" t="s">
        <v>96</v>
      </c>
    </row>
    <row r="36" spans="1:9" x14ac:dyDescent="0.25">
      <c r="B36" s="10" t="s">
        <v>97</v>
      </c>
    </row>
    <row r="37" spans="1:9" x14ac:dyDescent="0.25">
      <c r="B37" s="10" t="s">
        <v>98</v>
      </c>
    </row>
    <row r="38" spans="1:9" x14ac:dyDescent="0.25">
      <c r="B38" s="10" t="s">
        <v>99</v>
      </c>
    </row>
    <row r="39" spans="1:9" x14ac:dyDescent="0.25">
      <c r="B39" s="10" t="s">
        <v>100</v>
      </c>
    </row>
    <row r="40" spans="1:9" x14ac:dyDescent="0.25">
      <c r="B40" s="10" t="s">
        <v>101</v>
      </c>
    </row>
    <row r="41" spans="1:9" x14ac:dyDescent="0.25">
      <c r="B41" s="10" t="s">
        <v>102</v>
      </c>
    </row>
    <row r="42" spans="1:9" x14ac:dyDescent="0.25">
      <c r="B42" s="10" t="s">
        <v>103</v>
      </c>
    </row>
    <row r="43" spans="1:9" x14ac:dyDescent="0.25">
      <c r="B43" s="10" t="s">
        <v>104</v>
      </c>
    </row>
    <row r="45" spans="1:9" x14ac:dyDescent="0.25">
      <c r="B45" s="10" t="s">
        <v>108</v>
      </c>
      <c r="D45">
        <f>IF(COUNT(F28,F29,F32,F33,F34,F35)&gt;0,1,0)</f>
        <v>1</v>
      </c>
      <c r="F45" s="1">
        <f>MAX(D45:D46)</f>
        <v>1</v>
      </c>
      <c r="G45">
        <v>1</v>
      </c>
      <c r="I45">
        <f>IF(COUNT(I28,I29,I32,I33,I34,I35)&gt;0,1,0)</f>
        <v>1</v>
      </c>
    </row>
    <row r="46" spans="1:9" x14ac:dyDescent="0.25">
      <c r="B46" s="10" t="s">
        <v>133</v>
      </c>
      <c r="D46">
        <f>1-D45</f>
        <v>0</v>
      </c>
      <c r="I46">
        <f>1-I45</f>
        <v>0</v>
      </c>
    </row>
    <row r="47" spans="1:9" x14ac:dyDescent="0.25">
      <c r="B47" s="10"/>
    </row>
    <row r="48" spans="1:9" x14ac:dyDescent="0.25">
      <c r="A48" s="1" t="s">
        <v>112</v>
      </c>
    </row>
    <row r="49" spans="2:9" x14ac:dyDescent="0.25">
      <c r="B49" s="14" t="s">
        <v>113</v>
      </c>
    </row>
    <row r="50" spans="2:9" x14ac:dyDescent="0.25">
      <c r="B50" s="14" t="s">
        <v>80</v>
      </c>
      <c r="D50">
        <f>IF(G45&gt;0,1.5,1)</f>
        <v>1.5</v>
      </c>
      <c r="F50" s="1">
        <v>2</v>
      </c>
      <c r="G50">
        <v>1.5</v>
      </c>
    </row>
    <row r="51" spans="2:9" x14ac:dyDescent="0.25">
      <c r="B51" s="14" t="s">
        <v>81</v>
      </c>
      <c r="D51">
        <v>1</v>
      </c>
      <c r="I51">
        <v>1</v>
      </c>
    </row>
    <row r="52" spans="2:9" x14ac:dyDescent="0.25">
      <c r="B52" s="14"/>
    </row>
    <row r="53" spans="2:9" x14ac:dyDescent="0.25">
      <c r="B53" s="14" t="s">
        <v>114</v>
      </c>
    </row>
    <row r="54" spans="2:9" x14ac:dyDescent="0.25">
      <c r="B54" s="14" t="s">
        <v>80</v>
      </c>
      <c r="D54">
        <v>1.5</v>
      </c>
      <c r="F54" s="1">
        <v>2</v>
      </c>
      <c r="G54">
        <v>1.5</v>
      </c>
    </row>
    <row r="55" spans="2:9" x14ac:dyDescent="0.25">
      <c r="B55" s="14" t="s">
        <v>81</v>
      </c>
      <c r="D55">
        <v>1</v>
      </c>
      <c r="I55">
        <v>1</v>
      </c>
    </row>
    <row r="56" spans="2:9" x14ac:dyDescent="0.25">
      <c r="B56" s="14"/>
    </row>
    <row r="57" spans="2:9" x14ac:dyDescent="0.25">
      <c r="B57" s="14" t="s">
        <v>115</v>
      </c>
    </row>
    <row r="58" spans="2:9" x14ac:dyDescent="0.25">
      <c r="B58" s="14" t="s">
        <v>80</v>
      </c>
      <c r="D58">
        <v>2</v>
      </c>
      <c r="F58" s="1">
        <f>MAX(D58:D59)</f>
        <v>2</v>
      </c>
      <c r="G58">
        <v>1</v>
      </c>
    </row>
    <row r="59" spans="2:9" x14ac:dyDescent="0.25">
      <c r="B59" s="14" t="s">
        <v>81</v>
      </c>
      <c r="D59">
        <v>1</v>
      </c>
      <c r="I59">
        <v>1</v>
      </c>
    </row>
    <row r="60" spans="2:9" x14ac:dyDescent="0.25">
      <c r="B60" s="14"/>
    </row>
    <row r="61" spans="2:9" x14ac:dyDescent="0.25">
      <c r="B61" s="14" t="s">
        <v>116</v>
      </c>
    </row>
    <row r="62" spans="2:9" x14ac:dyDescent="0.25">
      <c r="B62" s="14" t="s">
        <v>80</v>
      </c>
      <c r="D62">
        <v>2</v>
      </c>
      <c r="F62" s="1">
        <v>1</v>
      </c>
      <c r="G62">
        <v>1</v>
      </c>
    </row>
    <row r="63" spans="2:9" x14ac:dyDescent="0.25">
      <c r="B63" s="14" t="s">
        <v>81</v>
      </c>
      <c r="D63">
        <v>1</v>
      </c>
      <c r="I63">
        <v>1</v>
      </c>
    </row>
    <row r="67" spans="6:9" x14ac:dyDescent="0.25">
      <c r="F67">
        <f>PRODUCT(F50:F63,F5:F23,(1+F25/10))</f>
        <v>18000</v>
      </c>
      <c r="G67">
        <f>PRODUCT(G50:G63,G5:G23,(1+G25/10))</f>
        <v>2024.9999999999995</v>
      </c>
      <c r="I67">
        <f>PRODUCT(I50:I63,I5:I24,(1+I26/10))</f>
        <v>30</v>
      </c>
    </row>
    <row r="70" spans="6:9" x14ac:dyDescent="0.25">
      <c r="F70" s="15">
        <f t="shared" ref="F70:I70" si="0">LOG(calib*F67,2)</f>
        <v>28</v>
      </c>
      <c r="G70" s="15">
        <f t="shared" si="0"/>
        <v>24.847996906554947</v>
      </c>
      <c r="H70" s="15"/>
      <c r="I70" s="15">
        <f t="shared" si="0"/>
        <v>18.771181309504122</v>
      </c>
    </row>
  </sheetData>
  <pageMargins left="0.7" right="0.7" top="0.75" bottom="0.75" header="0.3" footer="0.3"/>
  <pageSetup paperSize="9" orientation="portrait" horizontalDpi="4294967293" verticalDpi="4294967293"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33378-07B5-4AFD-95C8-D18BC89BB3EE}">
  <sheetPr>
    <tabColor theme="9" tint="0.39997558519241921"/>
  </sheetPr>
  <dimension ref="A1:J70"/>
  <sheetViews>
    <sheetView workbookViewId="0">
      <selection activeCell="H3" sqref="H3"/>
    </sheetView>
  </sheetViews>
  <sheetFormatPr defaultRowHeight="15" x14ac:dyDescent="0.25"/>
  <cols>
    <col min="2" max="2" width="91" customWidth="1"/>
    <col min="3" max="3" width="11" customWidth="1"/>
  </cols>
  <sheetData>
    <row r="1" spans="1:10" x14ac:dyDescent="0.25">
      <c r="A1" t="s">
        <v>145</v>
      </c>
      <c r="D1" t="s">
        <v>134</v>
      </c>
      <c r="E1" t="s">
        <v>125</v>
      </c>
      <c r="F1" t="s">
        <v>129</v>
      </c>
      <c r="I1" t="s">
        <v>153</v>
      </c>
    </row>
    <row r="2" spans="1:10" x14ac:dyDescent="0.25">
      <c r="I2" t="s">
        <v>65</v>
      </c>
      <c r="J2" t="s">
        <v>65</v>
      </c>
    </row>
    <row r="3" spans="1:10" x14ac:dyDescent="0.25">
      <c r="C3" t="s">
        <v>90</v>
      </c>
      <c r="I3" t="s">
        <v>16</v>
      </c>
      <c r="J3" t="s">
        <v>54</v>
      </c>
    </row>
    <row r="4" spans="1:10" x14ac:dyDescent="0.25">
      <c r="B4" s="1" t="s">
        <v>146</v>
      </c>
    </row>
    <row r="5" spans="1:10" x14ac:dyDescent="0.25">
      <c r="B5" s="7" t="s">
        <v>139</v>
      </c>
      <c r="C5" s="7"/>
      <c r="D5">
        <v>0.1</v>
      </c>
      <c r="E5">
        <f>MAX(D5:D8)</f>
        <v>10</v>
      </c>
      <c r="F5">
        <v>0.3</v>
      </c>
    </row>
    <row r="6" spans="1:10" x14ac:dyDescent="0.25">
      <c r="B6" s="7" t="s">
        <v>141</v>
      </c>
      <c r="D6">
        <v>0.3</v>
      </c>
      <c r="G6">
        <v>3</v>
      </c>
    </row>
    <row r="7" spans="1:10" x14ac:dyDescent="0.25">
      <c r="B7" s="7" t="s">
        <v>140</v>
      </c>
      <c r="D7">
        <v>1</v>
      </c>
    </row>
    <row r="8" spans="1:10" x14ac:dyDescent="0.25">
      <c r="B8" s="7" t="s">
        <v>142</v>
      </c>
      <c r="D8">
        <v>10</v>
      </c>
    </row>
    <row r="9" spans="1:10" x14ac:dyDescent="0.25">
      <c r="B9" s="7"/>
      <c r="I9">
        <v>0.1</v>
      </c>
      <c r="J9">
        <v>0.1</v>
      </c>
    </row>
    <row r="10" spans="1:10" x14ac:dyDescent="0.25">
      <c r="B10" s="1" t="s">
        <v>86</v>
      </c>
    </row>
    <row r="11" spans="1:10" x14ac:dyDescent="0.25">
      <c r="B11" t="s">
        <v>80</v>
      </c>
      <c r="C11" t="s">
        <v>80</v>
      </c>
      <c r="D11">
        <v>1.5</v>
      </c>
      <c r="E11" s="1">
        <f>MAX(D11:D12)</f>
        <v>1.5</v>
      </c>
      <c r="F11">
        <v>1.5</v>
      </c>
    </row>
    <row r="12" spans="1:10" x14ac:dyDescent="0.25">
      <c r="B12" t="s">
        <v>81</v>
      </c>
      <c r="D12">
        <v>1</v>
      </c>
    </row>
    <row r="13" spans="1:10" x14ac:dyDescent="0.25">
      <c r="I13">
        <v>1.5</v>
      </c>
      <c r="J13">
        <v>1.5</v>
      </c>
    </row>
    <row r="14" spans="1:10" x14ac:dyDescent="0.25">
      <c r="B14" s="1" t="s">
        <v>87</v>
      </c>
    </row>
    <row r="15" spans="1:10" x14ac:dyDescent="0.25">
      <c r="B15" t="s">
        <v>80</v>
      </c>
      <c r="C15" t="s">
        <v>91</v>
      </c>
      <c r="D15">
        <v>10</v>
      </c>
      <c r="E15" s="1">
        <f>MAX(D15:D16)</f>
        <v>10</v>
      </c>
      <c r="F15">
        <v>10</v>
      </c>
    </row>
    <row r="16" spans="1:10" x14ac:dyDescent="0.25">
      <c r="B16" t="s">
        <v>81</v>
      </c>
      <c r="D16">
        <v>1</v>
      </c>
      <c r="I16">
        <v>1</v>
      </c>
      <c r="J16">
        <v>1</v>
      </c>
    </row>
    <row r="18" spans="2:10" x14ac:dyDescent="0.25">
      <c r="B18" s="1" t="s">
        <v>119</v>
      </c>
    </row>
    <row r="19" spans="2:10" x14ac:dyDescent="0.25">
      <c r="B19" s="12" t="s">
        <v>80</v>
      </c>
      <c r="D19">
        <v>1.5</v>
      </c>
      <c r="E19" s="1">
        <f>MAX(D19:D20)</f>
        <v>1.5</v>
      </c>
      <c r="F19">
        <v>1</v>
      </c>
    </row>
    <row r="20" spans="2:10" x14ac:dyDescent="0.25">
      <c r="B20" s="13" t="s">
        <v>81</v>
      </c>
      <c r="D20">
        <v>1</v>
      </c>
    </row>
    <row r="21" spans="2:10" x14ac:dyDescent="0.25">
      <c r="B21" s="13"/>
      <c r="I21">
        <v>1.5</v>
      </c>
      <c r="J21">
        <v>1</v>
      </c>
    </row>
    <row r="22" spans="2:10" x14ac:dyDescent="0.25">
      <c r="B22" s="1" t="s">
        <v>82</v>
      </c>
    </row>
    <row r="23" spans="2:10" x14ac:dyDescent="0.25">
      <c r="B23" t="s">
        <v>121</v>
      </c>
      <c r="D23">
        <v>1</v>
      </c>
      <c r="E23" s="1">
        <f>MAX(D23:D24)</f>
        <v>10</v>
      </c>
    </row>
    <row r="24" spans="2:10" x14ac:dyDescent="0.25">
      <c r="B24" t="s">
        <v>120</v>
      </c>
      <c r="D24">
        <v>10</v>
      </c>
      <c r="F24">
        <v>10</v>
      </c>
    </row>
    <row r="25" spans="2:10" x14ac:dyDescent="0.25">
      <c r="I25">
        <v>10</v>
      </c>
      <c r="J25">
        <v>10</v>
      </c>
    </row>
    <row r="27" spans="2:10" x14ac:dyDescent="0.25">
      <c r="B27" s="1" t="s">
        <v>107</v>
      </c>
      <c r="F27">
        <v>1</v>
      </c>
    </row>
    <row r="28" spans="2:10" x14ac:dyDescent="0.25">
      <c r="B28" s="10" t="s">
        <v>92</v>
      </c>
      <c r="F28">
        <v>1</v>
      </c>
    </row>
    <row r="29" spans="2:10" x14ac:dyDescent="0.25">
      <c r="B29" t="s">
        <v>131</v>
      </c>
      <c r="F29">
        <v>1</v>
      </c>
    </row>
    <row r="30" spans="2:10" x14ac:dyDescent="0.25">
      <c r="B30" t="s">
        <v>130</v>
      </c>
      <c r="F30">
        <v>1</v>
      </c>
    </row>
    <row r="31" spans="2:10" x14ac:dyDescent="0.25">
      <c r="B31" t="s">
        <v>132</v>
      </c>
      <c r="F31">
        <v>1</v>
      </c>
    </row>
    <row r="32" spans="2:10" x14ac:dyDescent="0.25">
      <c r="B32" s="10" t="s">
        <v>93</v>
      </c>
      <c r="F32">
        <v>1</v>
      </c>
      <c r="I32">
        <v>1</v>
      </c>
      <c r="J32">
        <v>1</v>
      </c>
    </row>
    <row r="33" spans="1:10" x14ac:dyDescent="0.25">
      <c r="B33" s="10" t="s">
        <v>94</v>
      </c>
    </row>
    <row r="34" spans="1:10" x14ac:dyDescent="0.25">
      <c r="B34" s="10" t="s">
        <v>95</v>
      </c>
    </row>
    <row r="35" spans="1:10" x14ac:dyDescent="0.25">
      <c r="B35" s="10" t="s">
        <v>96</v>
      </c>
    </row>
    <row r="36" spans="1:10" x14ac:dyDescent="0.25">
      <c r="B36" s="10" t="s">
        <v>97</v>
      </c>
    </row>
    <row r="37" spans="1:10" x14ac:dyDescent="0.25">
      <c r="B37" s="10" t="s">
        <v>98</v>
      </c>
    </row>
    <row r="38" spans="1:10" x14ac:dyDescent="0.25">
      <c r="B38" s="10" t="s">
        <v>99</v>
      </c>
    </row>
    <row r="39" spans="1:10" x14ac:dyDescent="0.25">
      <c r="B39" s="10" t="s">
        <v>100</v>
      </c>
    </row>
    <row r="40" spans="1:10" x14ac:dyDescent="0.25">
      <c r="B40" s="10" t="s">
        <v>101</v>
      </c>
    </row>
    <row r="41" spans="1:10" x14ac:dyDescent="0.25">
      <c r="B41" s="10" t="s">
        <v>102</v>
      </c>
    </row>
    <row r="42" spans="1:10" x14ac:dyDescent="0.25">
      <c r="B42" s="10" t="s">
        <v>103</v>
      </c>
    </row>
    <row r="43" spans="1:10" x14ac:dyDescent="0.25">
      <c r="B43" s="10" t="s">
        <v>104</v>
      </c>
    </row>
    <row r="45" spans="1:10" x14ac:dyDescent="0.25">
      <c r="B45" s="10" t="s">
        <v>108</v>
      </c>
      <c r="D45">
        <f>IF(COUNT(F28,F29,F32,F33,F34,F35)&gt;0,1,0)</f>
        <v>1</v>
      </c>
      <c r="E45" s="1">
        <f>MAX(D45:D46)</f>
        <v>1</v>
      </c>
      <c r="F45">
        <v>1</v>
      </c>
      <c r="I45">
        <v>1</v>
      </c>
      <c r="J45">
        <v>1</v>
      </c>
    </row>
    <row r="46" spans="1:10" x14ac:dyDescent="0.25">
      <c r="B46" s="10" t="s">
        <v>133</v>
      </c>
      <c r="D46">
        <f>1-D45</f>
        <v>0</v>
      </c>
    </row>
    <row r="47" spans="1:10" x14ac:dyDescent="0.25">
      <c r="B47" s="10"/>
    </row>
    <row r="48" spans="1:10" x14ac:dyDescent="0.25">
      <c r="A48" s="1" t="s">
        <v>112</v>
      </c>
    </row>
    <row r="49" spans="2:10" x14ac:dyDescent="0.25">
      <c r="B49" s="14" t="s">
        <v>113</v>
      </c>
    </row>
    <row r="50" spans="2:10" x14ac:dyDescent="0.25">
      <c r="B50" s="14" t="s">
        <v>80</v>
      </c>
      <c r="D50">
        <f>IF(F45&gt;0,1.5,1)</f>
        <v>1.5</v>
      </c>
      <c r="E50" s="1">
        <f>MAX(D50:D51)</f>
        <v>1.5</v>
      </c>
      <c r="F50">
        <v>1.5</v>
      </c>
    </row>
    <row r="51" spans="2:10" x14ac:dyDescent="0.25">
      <c r="B51" s="14" t="s">
        <v>81</v>
      </c>
      <c r="D51">
        <v>1</v>
      </c>
    </row>
    <row r="52" spans="2:10" x14ac:dyDescent="0.25">
      <c r="B52" s="14"/>
      <c r="I52">
        <f>IF(I45&gt;0,1.5,1)</f>
        <v>1.5</v>
      </c>
      <c r="J52">
        <v>1.5</v>
      </c>
    </row>
    <row r="53" spans="2:10" x14ac:dyDescent="0.25">
      <c r="B53" s="14" t="s">
        <v>114</v>
      </c>
    </row>
    <row r="54" spans="2:10" x14ac:dyDescent="0.25">
      <c r="B54" s="14" t="s">
        <v>80</v>
      </c>
      <c r="D54">
        <v>1.5</v>
      </c>
      <c r="E54" s="1">
        <f>MAX(D54:D55)</f>
        <v>1.5</v>
      </c>
      <c r="F54">
        <v>1.5</v>
      </c>
    </row>
    <row r="55" spans="2:10" x14ac:dyDescent="0.25">
      <c r="B55" s="14" t="s">
        <v>81</v>
      </c>
      <c r="D55">
        <v>1</v>
      </c>
    </row>
    <row r="56" spans="2:10" x14ac:dyDescent="0.25">
      <c r="B56" s="14"/>
      <c r="I56">
        <v>1</v>
      </c>
      <c r="J56">
        <v>1</v>
      </c>
    </row>
    <row r="57" spans="2:10" x14ac:dyDescent="0.25">
      <c r="B57" s="14" t="s">
        <v>115</v>
      </c>
    </row>
    <row r="58" spans="2:10" x14ac:dyDescent="0.25">
      <c r="B58" s="14" t="s">
        <v>80</v>
      </c>
      <c r="D58">
        <v>2</v>
      </c>
      <c r="E58" s="1">
        <f>MAX(D58:D59)</f>
        <v>2</v>
      </c>
      <c r="F58">
        <v>1</v>
      </c>
    </row>
    <row r="59" spans="2:10" x14ac:dyDescent="0.25">
      <c r="B59" s="14" t="s">
        <v>81</v>
      </c>
      <c r="D59">
        <v>1</v>
      </c>
    </row>
    <row r="60" spans="2:10" x14ac:dyDescent="0.25">
      <c r="B60" s="14"/>
      <c r="I60">
        <v>1</v>
      </c>
      <c r="J60">
        <v>1</v>
      </c>
    </row>
    <row r="61" spans="2:10" x14ac:dyDescent="0.25">
      <c r="B61" s="14" t="s">
        <v>116</v>
      </c>
    </row>
    <row r="62" spans="2:10" x14ac:dyDescent="0.25">
      <c r="B62" s="14" t="s">
        <v>80</v>
      </c>
      <c r="D62">
        <v>2</v>
      </c>
      <c r="E62" s="1">
        <f>MAX(D62:D63)</f>
        <v>2</v>
      </c>
      <c r="F62">
        <v>1</v>
      </c>
    </row>
    <row r="63" spans="2:10" x14ac:dyDescent="0.25">
      <c r="B63" s="14" t="s">
        <v>81</v>
      </c>
      <c r="D63">
        <v>1</v>
      </c>
    </row>
    <row r="64" spans="2:10" x14ac:dyDescent="0.25">
      <c r="I64">
        <v>1</v>
      </c>
      <c r="J64">
        <v>1</v>
      </c>
    </row>
    <row r="67" spans="5:10" x14ac:dyDescent="0.25">
      <c r="E67">
        <f>PRODUCT(E50:E63,E4:E24)</f>
        <v>20250</v>
      </c>
      <c r="F67">
        <f>PRODUCT(F50:F63,F4:F24)</f>
        <v>101.25</v>
      </c>
      <c r="I67">
        <f>PRODUCT(I50:I64,I4:I25)</f>
        <v>3.375</v>
      </c>
      <c r="J67">
        <f>PRODUCT(J50:J64,J4:J25)</f>
        <v>2.2500000000000004</v>
      </c>
    </row>
    <row r="70" spans="5:10" x14ac:dyDescent="0.25">
      <c r="I70" s="15">
        <f>IF(I67=0,0,LOG(calib*I67,2))</f>
        <v>15.619178216059069</v>
      </c>
      <c r="J70" s="15">
        <f>IF(J67=0,0,LOG(calib*J67,2))</f>
        <v>15.034215715337915</v>
      </c>
    </row>
  </sheetData>
  <pageMargins left="0.7" right="0.7" top="0.75" bottom="0.75" header="0.3" footer="0.3"/>
  <pageSetup paperSize="9" orientation="portrait" horizontalDpi="4294967293" verticalDpi="4294967293"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F6BDD-DBAB-4696-81F9-BF57FF051418}">
  <sheetPr>
    <tabColor theme="9" tint="0.39997558519241921"/>
  </sheetPr>
  <dimension ref="A1:L69"/>
  <sheetViews>
    <sheetView topLeftCell="C1" workbookViewId="0">
      <selection activeCell="H3" sqref="H3"/>
    </sheetView>
  </sheetViews>
  <sheetFormatPr defaultRowHeight="15" x14ac:dyDescent="0.25"/>
  <cols>
    <col min="2" max="2" width="91" customWidth="1"/>
    <col min="3" max="3" width="11" customWidth="1"/>
    <col min="8" max="8" width="12.140625" customWidth="1"/>
  </cols>
  <sheetData>
    <row r="1" spans="1:12" x14ac:dyDescent="0.25">
      <c r="A1" t="s">
        <v>117</v>
      </c>
      <c r="D1" t="s">
        <v>134</v>
      </c>
      <c r="E1" t="s">
        <v>125</v>
      </c>
      <c r="F1" t="s">
        <v>129</v>
      </c>
    </row>
    <row r="2" spans="1:12" x14ac:dyDescent="0.25">
      <c r="C2" t="s">
        <v>90</v>
      </c>
      <c r="H2" t="s">
        <v>1</v>
      </c>
      <c r="I2" t="s">
        <v>1</v>
      </c>
      <c r="J2" t="s">
        <v>1</v>
      </c>
      <c r="K2" t="s">
        <v>1</v>
      </c>
      <c r="L2" t="s">
        <v>1</v>
      </c>
    </row>
    <row r="3" spans="1:12" x14ac:dyDescent="0.25">
      <c r="B3" s="1" t="s">
        <v>118</v>
      </c>
      <c r="H3" t="s">
        <v>29</v>
      </c>
      <c r="I3" t="s">
        <v>45</v>
      </c>
      <c r="J3" t="s">
        <v>50</v>
      </c>
      <c r="K3" t="s">
        <v>60</v>
      </c>
      <c r="L3" t="s">
        <v>62</v>
      </c>
    </row>
    <row r="4" spans="1:12" x14ac:dyDescent="0.25">
      <c r="B4" s="7" t="s">
        <v>77</v>
      </c>
      <c r="C4" s="7" t="s">
        <v>79</v>
      </c>
      <c r="D4">
        <v>0.1</v>
      </c>
      <c r="E4">
        <f>MAX(D4:D6)</f>
        <v>1</v>
      </c>
    </row>
    <row r="5" spans="1:12" x14ac:dyDescent="0.25">
      <c r="B5" s="7" t="s">
        <v>78</v>
      </c>
      <c r="D5">
        <v>0.3</v>
      </c>
      <c r="F5">
        <v>0.3</v>
      </c>
    </row>
    <row r="6" spans="1:12" x14ac:dyDescent="0.25">
      <c r="B6" s="7" t="s">
        <v>79</v>
      </c>
      <c r="D6">
        <v>1</v>
      </c>
    </row>
    <row r="7" spans="1:12" x14ac:dyDescent="0.25">
      <c r="H7">
        <v>0.3</v>
      </c>
      <c r="I7">
        <v>0.3</v>
      </c>
      <c r="J7">
        <v>0.1</v>
      </c>
      <c r="K7">
        <v>0.1</v>
      </c>
      <c r="L7">
        <v>0.1</v>
      </c>
    </row>
    <row r="8" spans="1:12" x14ac:dyDescent="0.25">
      <c r="B8" s="1" t="s">
        <v>86</v>
      </c>
    </row>
    <row r="9" spans="1:12" x14ac:dyDescent="0.25">
      <c r="B9" t="s">
        <v>80</v>
      </c>
      <c r="C9" t="s">
        <v>80</v>
      </c>
      <c r="D9">
        <v>3</v>
      </c>
      <c r="E9" s="1">
        <f>MAX(D9:D10)</f>
        <v>3</v>
      </c>
      <c r="F9">
        <v>3</v>
      </c>
      <c r="H9">
        <v>3</v>
      </c>
      <c r="I9">
        <v>3</v>
      </c>
      <c r="J9">
        <v>1</v>
      </c>
      <c r="K9">
        <v>1</v>
      </c>
      <c r="L9">
        <v>1</v>
      </c>
    </row>
    <row r="10" spans="1:12" x14ac:dyDescent="0.25">
      <c r="B10" t="s">
        <v>81</v>
      </c>
      <c r="D10">
        <v>1</v>
      </c>
    </row>
    <row r="12" spans="1:12" x14ac:dyDescent="0.25">
      <c r="B12" s="1" t="s">
        <v>87</v>
      </c>
    </row>
    <row r="13" spans="1:12" x14ac:dyDescent="0.25">
      <c r="B13" t="s">
        <v>80</v>
      </c>
      <c r="C13" t="s">
        <v>91</v>
      </c>
      <c r="D13">
        <v>10</v>
      </c>
      <c r="E13" s="1">
        <f>MAX(D13:D14)</f>
        <v>10</v>
      </c>
      <c r="F13">
        <v>10</v>
      </c>
    </row>
    <row r="14" spans="1:12" x14ac:dyDescent="0.25">
      <c r="B14" t="s">
        <v>81</v>
      </c>
      <c r="D14">
        <v>1</v>
      </c>
    </row>
    <row r="15" spans="1:12" x14ac:dyDescent="0.25">
      <c r="H15" s="3">
        <v>1</v>
      </c>
      <c r="I15" s="3">
        <v>1</v>
      </c>
      <c r="J15" s="3">
        <v>1</v>
      </c>
      <c r="K15" s="3">
        <v>10</v>
      </c>
      <c r="L15" s="16">
        <v>1</v>
      </c>
    </row>
    <row r="16" spans="1:12" x14ac:dyDescent="0.25">
      <c r="B16" s="1" t="s">
        <v>119</v>
      </c>
    </row>
    <row r="17" spans="2:12" x14ac:dyDescent="0.25">
      <c r="B17" s="12" t="s">
        <v>80</v>
      </c>
      <c r="D17">
        <v>1.5</v>
      </c>
      <c r="E17" s="1">
        <f>MAX(D17:D18)</f>
        <v>1.5</v>
      </c>
      <c r="F17">
        <v>1</v>
      </c>
    </row>
    <row r="18" spans="2:12" x14ac:dyDescent="0.25">
      <c r="B18" s="13" t="s">
        <v>81</v>
      </c>
      <c r="D18">
        <v>1</v>
      </c>
    </row>
    <row r="19" spans="2:12" x14ac:dyDescent="0.25">
      <c r="B19" s="13"/>
      <c r="H19">
        <v>1.5</v>
      </c>
      <c r="I19">
        <v>1</v>
      </c>
      <c r="J19">
        <v>1</v>
      </c>
      <c r="K19">
        <v>1.5</v>
      </c>
      <c r="L19">
        <v>1</v>
      </c>
    </row>
    <row r="20" spans="2:12" x14ac:dyDescent="0.25">
      <c r="B20" s="1" t="s">
        <v>82</v>
      </c>
    </row>
    <row r="21" spans="2:12" x14ac:dyDescent="0.25">
      <c r="B21" t="s">
        <v>121</v>
      </c>
      <c r="D21">
        <v>1</v>
      </c>
      <c r="E21" s="1">
        <f>MAX(D21:D22)</f>
        <v>10</v>
      </c>
    </row>
    <row r="22" spans="2:12" x14ac:dyDescent="0.25">
      <c r="B22" t="s">
        <v>120</v>
      </c>
      <c r="D22">
        <v>10</v>
      </c>
      <c r="F22">
        <v>10</v>
      </c>
    </row>
    <row r="23" spans="2:12" x14ac:dyDescent="0.25">
      <c r="H23">
        <v>1</v>
      </c>
      <c r="I23">
        <v>1</v>
      </c>
      <c r="J23">
        <v>10</v>
      </c>
      <c r="K23">
        <v>10</v>
      </c>
      <c r="L23">
        <v>10</v>
      </c>
    </row>
    <row r="24" spans="2:12" x14ac:dyDescent="0.25">
      <c r="B24" s="1" t="s">
        <v>122</v>
      </c>
      <c r="C24" t="s">
        <v>123</v>
      </c>
      <c r="D24">
        <v>20</v>
      </c>
      <c r="E24" s="1">
        <f>D24</f>
        <v>20</v>
      </c>
      <c r="F24">
        <v>20</v>
      </c>
      <c r="H24">
        <v>2</v>
      </c>
      <c r="I24">
        <v>1</v>
      </c>
      <c r="J24" s="3">
        <v>4</v>
      </c>
      <c r="K24">
        <v>4</v>
      </c>
      <c r="L24">
        <v>4</v>
      </c>
    </row>
    <row r="27" spans="2:12" x14ac:dyDescent="0.25">
      <c r="B27" s="1" t="s">
        <v>107</v>
      </c>
      <c r="F27">
        <v>1</v>
      </c>
    </row>
    <row r="28" spans="2:12" x14ac:dyDescent="0.25">
      <c r="B28" s="10" t="s">
        <v>92</v>
      </c>
      <c r="F28">
        <v>1</v>
      </c>
    </row>
    <row r="29" spans="2:12" x14ac:dyDescent="0.25">
      <c r="B29" t="s">
        <v>131</v>
      </c>
      <c r="F29">
        <v>1</v>
      </c>
    </row>
    <row r="30" spans="2:12" x14ac:dyDescent="0.25">
      <c r="B30" t="s">
        <v>130</v>
      </c>
      <c r="F30">
        <v>1</v>
      </c>
    </row>
    <row r="31" spans="2:12" x14ac:dyDescent="0.25">
      <c r="B31" t="s">
        <v>132</v>
      </c>
      <c r="F31">
        <v>1</v>
      </c>
    </row>
    <row r="32" spans="2:12" x14ac:dyDescent="0.25">
      <c r="B32" s="10" t="s">
        <v>93</v>
      </c>
      <c r="F32">
        <v>1</v>
      </c>
      <c r="H32">
        <v>1</v>
      </c>
      <c r="J32">
        <v>1</v>
      </c>
      <c r="K32">
        <v>1</v>
      </c>
      <c r="L32">
        <v>1</v>
      </c>
    </row>
    <row r="33" spans="1:12" x14ac:dyDescent="0.25">
      <c r="B33" s="10" t="s">
        <v>94</v>
      </c>
      <c r="I33">
        <v>1</v>
      </c>
    </row>
    <row r="34" spans="1:12" x14ac:dyDescent="0.25">
      <c r="B34" s="10" t="s">
        <v>95</v>
      </c>
    </row>
    <row r="35" spans="1:12" x14ac:dyDescent="0.25">
      <c r="B35" s="10" t="s">
        <v>96</v>
      </c>
    </row>
    <row r="36" spans="1:12" x14ac:dyDescent="0.25">
      <c r="B36" s="10" t="s">
        <v>97</v>
      </c>
    </row>
    <row r="37" spans="1:12" x14ac:dyDescent="0.25">
      <c r="B37" s="10" t="s">
        <v>98</v>
      </c>
    </row>
    <row r="38" spans="1:12" x14ac:dyDescent="0.25">
      <c r="B38" s="10" t="s">
        <v>99</v>
      </c>
    </row>
    <row r="39" spans="1:12" x14ac:dyDescent="0.25">
      <c r="B39" s="10" t="s">
        <v>100</v>
      </c>
    </row>
    <row r="40" spans="1:12" x14ac:dyDescent="0.25">
      <c r="B40" s="10" t="s">
        <v>101</v>
      </c>
    </row>
    <row r="41" spans="1:12" x14ac:dyDescent="0.25">
      <c r="B41" s="10" t="s">
        <v>102</v>
      </c>
    </row>
    <row r="42" spans="1:12" x14ac:dyDescent="0.25">
      <c r="B42" s="10" t="s">
        <v>103</v>
      </c>
    </row>
    <row r="43" spans="1:12" x14ac:dyDescent="0.25">
      <c r="B43" s="10" t="s">
        <v>104</v>
      </c>
    </row>
    <row r="45" spans="1:12" x14ac:dyDescent="0.25">
      <c r="B45" s="10" t="s">
        <v>108</v>
      </c>
      <c r="D45">
        <f>IF(COUNT(F28,F29,F32,F33,F34,F35)&gt;0,1,0)</f>
        <v>1</v>
      </c>
      <c r="E45" s="1">
        <f>MAX(D45:D46)</f>
        <v>1</v>
      </c>
      <c r="F45">
        <v>1</v>
      </c>
      <c r="H45">
        <f>IF(COUNT(H28,H29,H32,H33,H34,H35)&gt;0,1,0)</f>
        <v>1</v>
      </c>
      <c r="I45">
        <f>IF(COUNT(I28,I29,I32,I33,I34,I35)&gt;0,1,0)</f>
        <v>1</v>
      </c>
      <c r="J45">
        <f>IF(COUNT(J28,J29,J32,J33,J34,J35)&gt;0,1,0)</f>
        <v>1</v>
      </c>
      <c r="K45">
        <f>IF(COUNT(K28,K29,K32,K33,K34,K35)&gt;0,1,0)</f>
        <v>1</v>
      </c>
      <c r="L45">
        <f>IF(COUNT(L28,L29,L32,L33,L34,L35)&gt;0,1,0)</f>
        <v>1</v>
      </c>
    </row>
    <row r="46" spans="1:12" x14ac:dyDescent="0.25">
      <c r="B46" s="10" t="s">
        <v>133</v>
      </c>
      <c r="D46">
        <f>1-D45</f>
        <v>0</v>
      </c>
      <c r="H46">
        <f>1-H45</f>
        <v>0</v>
      </c>
      <c r="I46">
        <f>1-I45</f>
        <v>0</v>
      </c>
      <c r="J46">
        <f>1-J45</f>
        <v>0</v>
      </c>
      <c r="K46">
        <f>1-K45</f>
        <v>0</v>
      </c>
      <c r="L46">
        <f>1-L45</f>
        <v>0</v>
      </c>
    </row>
    <row r="47" spans="1:12" x14ac:dyDescent="0.25">
      <c r="B47" s="10"/>
    </row>
    <row r="48" spans="1:12" x14ac:dyDescent="0.25">
      <c r="A48" s="1" t="s">
        <v>112</v>
      </c>
    </row>
    <row r="49" spans="2:12" x14ac:dyDescent="0.25">
      <c r="B49" s="14" t="s">
        <v>113</v>
      </c>
    </row>
    <row r="50" spans="2:12" x14ac:dyDescent="0.25">
      <c r="B50" s="14" t="s">
        <v>80</v>
      </c>
      <c r="D50">
        <f>IF(F45&gt;0,1.5,1)</f>
        <v>1.5</v>
      </c>
      <c r="E50" s="1">
        <f>MAX(D50:D51)</f>
        <v>1.5</v>
      </c>
      <c r="F50">
        <v>1.5</v>
      </c>
    </row>
    <row r="51" spans="2:12" x14ac:dyDescent="0.25">
      <c r="B51" s="14" t="s">
        <v>81</v>
      </c>
      <c r="D51">
        <v>1</v>
      </c>
    </row>
    <row r="52" spans="2:12" x14ac:dyDescent="0.25">
      <c r="B52" s="14"/>
      <c r="H52">
        <v>1.5</v>
      </c>
      <c r="I52">
        <v>1</v>
      </c>
      <c r="J52">
        <v>1</v>
      </c>
      <c r="K52">
        <v>1</v>
      </c>
      <c r="L52">
        <v>1</v>
      </c>
    </row>
    <row r="53" spans="2:12" x14ac:dyDescent="0.25">
      <c r="B53" s="14" t="s">
        <v>114</v>
      </c>
    </row>
    <row r="54" spans="2:12" x14ac:dyDescent="0.25">
      <c r="B54" s="14" t="s">
        <v>80</v>
      </c>
      <c r="D54">
        <v>1.5</v>
      </c>
      <c r="E54" s="1">
        <f>MAX(D54:D55)</f>
        <v>1.5</v>
      </c>
      <c r="F54">
        <v>1.5</v>
      </c>
    </row>
    <row r="55" spans="2:12" x14ac:dyDescent="0.25">
      <c r="B55" s="14" t="s">
        <v>81</v>
      </c>
      <c r="D55">
        <v>1</v>
      </c>
    </row>
    <row r="56" spans="2:12" x14ac:dyDescent="0.25">
      <c r="B56" s="14"/>
      <c r="H56">
        <v>1.5</v>
      </c>
      <c r="I56">
        <v>1</v>
      </c>
      <c r="J56">
        <v>1</v>
      </c>
      <c r="K56">
        <v>1</v>
      </c>
      <c r="L56">
        <v>1</v>
      </c>
    </row>
    <row r="57" spans="2:12" x14ac:dyDescent="0.25">
      <c r="B57" s="14" t="s">
        <v>115</v>
      </c>
    </row>
    <row r="58" spans="2:12" x14ac:dyDescent="0.25">
      <c r="B58" s="14" t="s">
        <v>80</v>
      </c>
      <c r="D58">
        <v>2</v>
      </c>
      <c r="E58" s="1">
        <f>MAX(D58:D59)</f>
        <v>2</v>
      </c>
      <c r="F58">
        <v>1</v>
      </c>
    </row>
    <row r="59" spans="2:12" x14ac:dyDescent="0.25">
      <c r="B59" s="14" t="s">
        <v>81</v>
      </c>
      <c r="D59">
        <v>1</v>
      </c>
    </row>
    <row r="60" spans="2:12" x14ac:dyDescent="0.25">
      <c r="B60" s="14"/>
      <c r="H60">
        <v>1</v>
      </c>
      <c r="I60">
        <v>1</v>
      </c>
      <c r="J60">
        <v>1</v>
      </c>
      <c r="K60">
        <v>1</v>
      </c>
      <c r="L60">
        <v>1</v>
      </c>
    </row>
    <row r="61" spans="2:12" x14ac:dyDescent="0.25">
      <c r="B61" s="14" t="s">
        <v>116</v>
      </c>
    </row>
    <row r="62" spans="2:12" x14ac:dyDescent="0.25">
      <c r="B62" s="14" t="s">
        <v>80</v>
      </c>
      <c r="D62">
        <v>2</v>
      </c>
      <c r="E62" s="1">
        <f>MAX(D62:D63)</f>
        <v>2</v>
      </c>
      <c r="F62">
        <v>1</v>
      </c>
    </row>
    <row r="63" spans="2:12" x14ac:dyDescent="0.25">
      <c r="B63" s="14" t="s">
        <v>81</v>
      </c>
      <c r="D63">
        <v>1</v>
      </c>
    </row>
    <row r="64" spans="2:12" x14ac:dyDescent="0.25">
      <c r="H64">
        <v>1</v>
      </c>
      <c r="I64">
        <v>1</v>
      </c>
      <c r="J64">
        <v>1</v>
      </c>
      <c r="K64">
        <v>1</v>
      </c>
      <c r="L64">
        <v>1</v>
      </c>
    </row>
    <row r="67" spans="5:12" x14ac:dyDescent="0.25">
      <c r="E67">
        <f>PRODUCT(E50:E63,E3:E22,(1+E24/10))</f>
        <v>12150</v>
      </c>
      <c r="F67">
        <f>PRODUCT(F50:F63,F3:F22,(1+F24/10))</f>
        <v>607.5</v>
      </c>
      <c r="H67">
        <f>PRODUCT(H50:H64,H3:H23,(1+H24/10))</f>
        <v>3.6449999999999996</v>
      </c>
      <c r="I67">
        <f>PRODUCT(I50:I64,I3:I23,(1+I24/10))</f>
        <v>0.99</v>
      </c>
      <c r="J67">
        <f>PRODUCT(J50:J64,J3:J23,(1+J24/10))</f>
        <v>1.4</v>
      </c>
      <c r="K67">
        <f>PRODUCT(K50:K64,K3:K23,(1+K24/10))</f>
        <v>21</v>
      </c>
      <c r="L67">
        <f>PRODUCT(L50:L64,L3:L23,(1+L24/10))</f>
        <v>1.4</v>
      </c>
    </row>
    <row r="69" spans="5:12" x14ac:dyDescent="0.25">
      <c r="H69">
        <f>LOG(H67*calib,2)</f>
        <v>15.730209528447814</v>
      </c>
      <c r="I69">
        <f>LOG(I67*calib,2)</f>
        <v>13.849791144200486</v>
      </c>
      <c r="J69">
        <f>LOG(J67*calib,2)</f>
        <v>14.349717541065841</v>
      </c>
      <c r="K69">
        <f>LOG(K67*calib,2)</f>
        <v>18.256608136674362</v>
      </c>
      <c r="L69">
        <f>LOG(L67*calib,2)</f>
        <v>14.349717541065841</v>
      </c>
    </row>
  </sheetData>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157</vt:i4>
      </vt:variant>
    </vt:vector>
  </HeadingPairs>
  <TitlesOfParts>
    <vt:vector size="196" baseType="lpstr">
      <vt:lpstr>Intro</vt:lpstr>
      <vt:lpstr>Step 2 - Classify the event</vt:lpstr>
      <vt:lpstr>Derailment</vt:lpstr>
      <vt:lpstr>Derailment Precursor</vt:lpstr>
      <vt:lpstr>Collision</vt:lpstr>
      <vt:lpstr>Collision Precursor</vt:lpstr>
      <vt:lpstr>Loss of Containment</vt:lpstr>
      <vt:lpstr>Loss of Cont Precursor</vt:lpstr>
      <vt:lpstr>Fire</vt:lpstr>
      <vt:lpstr>Admin Error</vt:lpstr>
      <vt:lpstr>Tabs to be hidden or deleted &gt;&gt;</vt:lpstr>
      <vt:lpstr>Route Map</vt:lpstr>
      <vt:lpstr>Admin Multi</vt:lpstr>
      <vt:lpstr>Admin Score</vt:lpstr>
      <vt:lpstr>Derailment Prec Multi</vt:lpstr>
      <vt:lpstr>input ranges</vt:lpstr>
      <vt:lpstr>Derailment Prec Score</vt:lpstr>
      <vt:lpstr>Derailment multi</vt:lpstr>
      <vt:lpstr>Derailment Score</vt:lpstr>
      <vt:lpstr>Collision Prec Multi</vt:lpstr>
      <vt:lpstr>Collision Prec Score</vt:lpstr>
      <vt:lpstr>Collision mult</vt:lpstr>
      <vt:lpstr>Collision Score</vt:lpstr>
      <vt:lpstr>Fire multi</vt:lpstr>
      <vt:lpstr>Fire Score</vt:lpstr>
      <vt:lpstr>Loss Cont Prec Multi</vt:lpstr>
      <vt:lpstr>Loss Cont Pre Score</vt:lpstr>
      <vt:lpstr>Loss of Cont Multi</vt:lpstr>
      <vt:lpstr>Loss of Cont Score</vt:lpstr>
      <vt:lpstr>Calibration</vt:lpstr>
      <vt:lpstr>Stats and distribution</vt:lpstr>
      <vt:lpstr>Ranked SMIS events &gt;&gt;</vt:lpstr>
      <vt:lpstr>CM Admin error</vt:lpstr>
      <vt:lpstr>CM Collision precursor</vt:lpstr>
      <vt:lpstr>CM Fire</vt:lpstr>
      <vt:lpstr>CM Loss of contain Pre</vt:lpstr>
      <vt:lpstr>CM Collision </vt:lpstr>
      <vt:lpstr>CM Loss of containment</vt:lpstr>
      <vt:lpstr>CM Derailment</vt:lpstr>
      <vt:lpstr>Admin_Conseq_Bridge</vt:lpstr>
      <vt:lpstr>Admin_conseq_BU</vt:lpstr>
      <vt:lpstr>Admin_Conseq_elec</vt:lpstr>
      <vt:lpstr>Admin_Conseq_Tunnel</vt:lpstr>
      <vt:lpstr>admin_conseq_water</vt:lpstr>
      <vt:lpstr>Admin_DG_Stored</vt:lpstr>
      <vt:lpstr>Admin_DG_Wagons</vt:lpstr>
      <vt:lpstr>Admin_High_conseq</vt:lpstr>
      <vt:lpstr>admin_likelihood</vt:lpstr>
      <vt:lpstr>Admin_Multi_DG</vt:lpstr>
      <vt:lpstr>Admin_passenger_line</vt:lpstr>
      <vt:lpstr>Admin_speed_range</vt:lpstr>
      <vt:lpstr>admin_tops_error</vt:lpstr>
      <vt:lpstr>calib</vt:lpstr>
      <vt:lpstr>Coll_Conseq_Bridge</vt:lpstr>
      <vt:lpstr>Coll_conseq_BU</vt:lpstr>
      <vt:lpstr>Coll_Conseq_elec</vt:lpstr>
      <vt:lpstr>Coll_Conseq_Tunnel</vt:lpstr>
      <vt:lpstr>coll_conseq_water</vt:lpstr>
      <vt:lpstr>Coll_DG_Stored</vt:lpstr>
      <vt:lpstr>Coll_DG_Wagons</vt:lpstr>
      <vt:lpstr>Coll_High_conseq</vt:lpstr>
      <vt:lpstr>Coll_Multi_DG</vt:lpstr>
      <vt:lpstr>Coll_passenger_line</vt:lpstr>
      <vt:lpstr>Coll_speed_range</vt:lpstr>
      <vt:lpstr>Coll_tops_error</vt:lpstr>
      <vt:lpstr>collision_likelihood</vt:lpstr>
      <vt:lpstr>CP_Conseq_Bridge</vt:lpstr>
      <vt:lpstr>CP_conseq_BU</vt:lpstr>
      <vt:lpstr>CP_Conseq_elec</vt:lpstr>
      <vt:lpstr>CP_Conseq_Tunnel</vt:lpstr>
      <vt:lpstr>CP_Conseq_water</vt:lpstr>
      <vt:lpstr>CP_DG_Stored</vt:lpstr>
      <vt:lpstr>CP_DG_Wagons</vt:lpstr>
      <vt:lpstr>CP_High_conseq</vt:lpstr>
      <vt:lpstr>CP_Multi_DG</vt:lpstr>
      <vt:lpstr>CP_passenger_line</vt:lpstr>
      <vt:lpstr>CP_speed_range</vt:lpstr>
      <vt:lpstr>CP_TOPS_error</vt:lpstr>
      <vt:lpstr>CP_Wagons</vt:lpstr>
      <vt:lpstr>D_Conseq_Bridge</vt:lpstr>
      <vt:lpstr>D_conseq_BU</vt:lpstr>
      <vt:lpstr>D_Conseq_elec</vt:lpstr>
      <vt:lpstr>D_Conseq_Tunnel</vt:lpstr>
      <vt:lpstr>D_conseq_water</vt:lpstr>
      <vt:lpstr>D_DG_Stored</vt:lpstr>
      <vt:lpstr>D_DG_Wagons</vt:lpstr>
      <vt:lpstr>D_High_conseq</vt:lpstr>
      <vt:lpstr>D_Multi_DG</vt:lpstr>
      <vt:lpstr>D_passenger_line</vt:lpstr>
      <vt:lpstr>D_speed_range</vt:lpstr>
      <vt:lpstr>D_tops_error</vt:lpstr>
      <vt:lpstr>derailment_likelihood</vt:lpstr>
      <vt:lpstr>DG_Fire_Involvement</vt:lpstr>
      <vt:lpstr>DP_Conseq_Bridge</vt:lpstr>
      <vt:lpstr>DP_conseq_BU</vt:lpstr>
      <vt:lpstr>DP_Conseq_elec</vt:lpstr>
      <vt:lpstr>DP_Conseq_Tunnel</vt:lpstr>
      <vt:lpstr>DP_Conseq_water</vt:lpstr>
      <vt:lpstr>DP_DG_Stored</vt:lpstr>
      <vt:lpstr>DP_DG_Wagons</vt:lpstr>
      <vt:lpstr>DP_High_conseq</vt:lpstr>
      <vt:lpstr>DP_Multi_DG</vt:lpstr>
      <vt:lpstr>DP_passenger_line</vt:lpstr>
      <vt:lpstr>DP_speed_range</vt:lpstr>
      <vt:lpstr>DP_tops_error</vt:lpstr>
      <vt:lpstr>'Admin Multi'!DP_Wagons</vt:lpstr>
      <vt:lpstr>DP_Wagons</vt:lpstr>
      <vt:lpstr>Fire_Conseq_Bridge</vt:lpstr>
      <vt:lpstr>fire_conseq_BU</vt:lpstr>
      <vt:lpstr>fire_Conseq_elec</vt:lpstr>
      <vt:lpstr>Fire_Conseq_Tunnel</vt:lpstr>
      <vt:lpstr>Fire_conseq_water</vt:lpstr>
      <vt:lpstr>Fire_DG_Stored</vt:lpstr>
      <vt:lpstr>Fire_DG_Wagons</vt:lpstr>
      <vt:lpstr>Fire_High_conseq</vt:lpstr>
      <vt:lpstr>Fire_impacts_DGs</vt:lpstr>
      <vt:lpstr>Fire_Multi_DG</vt:lpstr>
      <vt:lpstr>Fire_passenger_line</vt:lpstr>
      <vt:lpstr>Fire_Sustained</vt:lpstr>
      <vt:lpstr>FIre_tops_error</vt:lpstr>
      <vt:lpstr>LOC_Conseq_Bridge</vt:lpstr>
      <vt:lpstr>LOC_conseq_BU</vt:lpstr>
      <vt:lpstr>LOC_Conseq_elec</vt:lpstr>
      <vt:lpstr>LOC_Conseq_Tunnel</vt:lpstr>
      <vt:lpstr>LOC_conseq_water</vt:lpstr>
      <vt:lpstr>LOC_DG_Stored</vt:lpstr>
      <vt:lpstr>LOC_DG_Wagons</vt:lpstr>
      <vt:lpstr>LOC_High_conseq</vt:lpstr>
      <vt:lpstr>LOC_Multi_DG</vt:lpstr>
      <vt:lpstr>LOC_passenger_line</vt:lpstr>
      <vt:lpstr>LOC_TOPS_error</vt:lpstr>
      <vt:lpstr>LOC_Wagons</vt:lpstr>
      <vt:lpstr>'Loss of Cont Multi'!LOCP_Conseq_Bridge</vt:lpstr>
      <vt:lpstr>LOCP_Conseq_Bridge</vt:lpstr>
      <vt:lpstr>'Loss of Cont Multi'!LOCP_conseq_BU</vt:lpstr>
      <vt:lpstr>LOCP_conseq_BU</vt:lpstr>
      <vt:lpstr>'Loss of Cont Multi'!LOCP_Conseq_elec</vt:lpstr>
      <vt:lpstr>LOCP_Conseq_elec</vt:lpstr>
      <vt:lpstr>'Loss of Cont Multi'!LOCP_Conseq_Tunnel</vt:lpstr>
      <vt:lpstr>LOCP_Conseq_Tunnel</vt:lpstr>
      <vt:lpstr>Fire!LOCP_DG_Wagons</vt:lpstr>
      <vt:lpstr>'Loss of Containment'!LOCP_DG_Wagons</vt:lpstr>
      <vt:lpstr>LOCP_DG_Wagons</vt:lpstr>
      <vt:lpstr>'Loss of Cont Multi'!LOCP_Wagons</vt:lpstr>
      <vt:lpstr>LOCP_Wagons</vt:lpstr>
      <vt:lpstr>LOS_Scale</vt:lpstr>
      <vt:lpstr>'CM Admin error'!multiple_wagons</vt:lpstr>
      <vt:lpstr>'CM Collision '!multiple_wagons</vt:lpstr>
      <vt:lpstr>'CM Collision precursor'!multiple_wagons</vt:lpstr>
      <vt:lpstr>'CM Derailment'!multiple_wagons</vt:lpstr>
      <vt:lpstr>number_wagons</vt:lpstr>
      <vt:lpstr>'Collision mult'!ny_input</vt:lpstr>
      <vt:lpstr>'Fire multi'!ny_input</vt:lpstr>
      <vt:lpstr>ny_input</vt:lpstr>
      <vt:lpstr>'Admin Multi'!passenger_line</vt:lpstr>
      <vt:lpstr>'Collision mult'!passenger_line</vt:lpstr>
      <vt:lpstr>'Collision Prec Multi'!passenger_line</vt:lpstr>
      <vt:lpstr>'Derailment multi'!passenger_line</vt:lpstr>
      <vt:lpstr>'Fire multi'!passenger_line</vt:lpstr>
      <vt:lpstr>'Loss Cont Prec Multi'!passenger_line</vt:lpstr>
      <vt:lpstr>'Loss of Cont Multi'!passenger_line</vt:lpstr>
      <vt:lpstr>passenger_line</vt:lpstr>
      <vt:lpstr>'CM Admin error'!passengers</vt:lpstr>
      <vt:lpstr>'CM Collision '!passengers</vt:lpstr>
      <vt:lpstr>'CM Collision precursor'!passengers</vt:lpstr>
      <vt:lpstr>'CM Derailment'!passengers</vt:lpstr>
      <vt:lpstr>'CM Fire'!passengers</vt:lpstr>
      <vt:lpstr>'CM Loss of contain Pre'!passengers</vt:lpstr>
      <vt:lpstr>'CM Loss of containment'!passengers</vt:lpstr>
      <vt:lpstr>PLOC_conseq_water</vt:lpstr>
      <vt:lpstr>'Loss of Cont Multi'!PLOC_DG_Stored</vt:lpstr>
      <vt:lpstr>PLOC_DG_Stored</vt:lpstr>
      <vt:lpstr>'Loss of Cont Multi'!PLOC_High_conseq</vt:lpstr>
      <vt:lpstr>PLOC_High_conseq</vt:lpstr>
      <vt:lpstr>PLOC_Likelihood</vt:lpstr>
      <vt:lpstr>'Loss of Cont Multi'!PLOC_Multi_DG</vt:lpstr>
      <vt:lpstr>PLOC_Multi_DG</vt:lpstr>
      <vt:lpstr>'Loss of Cont Multi'!PLOC_passenger_line</vt:lpstr>
      <vt:lpstr>PLOC_passenger_line</vt:lpstr>
      <vt:lpstr>PLOC_TOPS_error</vt:lpstr>
      <vt:lpstr>'Loss of Cont Multi'!PLOS_Scale</vt:lpstr>
      <vt:lpstr>PLOS_Scale</vt:lpstr>
      <vt:lpstr>'CM Admin error'!small_containers</vt:lpstr>
      <vt:lpstr>'CM Collision '!small_containers</vt:lpstr>
      <vt:lpstr>'CM Collision precursor'!small_containers</vt:lpstr>
      <vt:lpstr>'CM Derailment'!small_containers</vt:lpstr>
      <vt:lpstr>'CM Fire'!small_containers</vt:lpstr>
      <vt:lpstr>'CM Loss of contain Pre'!small_containers</vt:lpstr>
      <vt:lpstr>'CM Loss of containment'!small_containers</vt:lpstr>
      <vt:lpstr>'Admin Multi'!speed_range</vt:lpstr>
      <vt:lpstr>'Collision mult'!speed_range</vt:lpstr>
      <vt:lpstr>'Collision Prec Multi'!speed_range</vt:lpstr>
      <vt:lpstr>'Derailment multi'!speed_range</vt:lpstr>
      <vt:lpstr>'Fire multi'!speed_range</vt:lpstr>
      <vt:lpstr>speed_range</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Badger</dc:creator>
  <cp:lastModifiedBy>peter.dray@sotera.co.uk</cp:lastModifiedBy>
  <cp:lastPrinted>2019-03-05T13:00:09Z</cp:lastPrinted>
  <dcterms:created xsi:type="dcterms:W3CDTF">2018-12-11T13:57:29Z</dcterms:created>
  <dcterms:modified xsi:type="dcterms:W3CDTF">2020-05-21T08:26:03Z</dcterms:modified>
</cp:coreProperties>
</file>